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\Desktop\"/>
    </mc:Choice>
  </mc:AlternateContent>
  <xr:revisionPtr revIDLastSave="0" documentId="13_ncr:1_{7865CC29-C9D1-47F4-A336-AAF8AD9EDB06}" xr6:coauthVersionLast="47" xr6:coauthVersionMax="47" xr10:uidLastSave="{00000000-0000-0000-0000-000000000000}"/>
  <bookViews>
    <workbookView xWindow="-120" yWindow="-120" windowWidth="51840" windowHeight="21120" xr2:uid="{A77E8595-795F-4868-9F16-231D3D2246DB}"/>
  </bookViews>
  <sheets>
    <sheet name="artcom" sheetId="1" r:id="rId1"/>
  </sheets>
  <definedNames>
    <definedName name="RangeRicavi">" 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C33" i="1"/>
  <c r="D4" i="1"/>
  <c r="C36" i="1"/>
  <c r="C37" i="1"/>
  <c r="C38" i="1"/>
  <c r="C39" i="1"/>
  <c r="B44" i="1"/>
  <c r="B45" i="1" s="1"/>
  <c r="B46" i="1" s="1"/>
  <c r="C5" i="1" l="1"/>
  <c r="H10" i="1"/>
  <c r="B37" i="1"/>
  <c r="H20" i="1" l="1"/>
  <c r="H19" i="1"/>
  <c r="H22" i="1" s="1"/>
  <c r="H21" i="1"/>
  <c r="D5" i="1"/>
  <c r="C6" i="1"/>
  <c r="C21" i="1" s="1"/>
  <c r="B38" i="1"/>
  <c r="C19" i="1" l="1"/>
  <c r="C20" i="1"/>
  <c r="H23" i="1"/>
  <c r="D6" i="1"/>
  <c r="B39" i="1"/>
  <c r="H24" i="1" l="1"/>
  <c r="H11" i="1" l="1"/>
  <c r="H16" i="1" l="1"/>
  <c r="H17" i="1" l="1"/>
  <c r="H26" i="1" s="1"/>
  <c r="H27" i="1" s="1"/>
  <c r="C22" i="1"/>
  <c r="C23" i="1" s="1"/>
  <c r="C24" i="1" l="1"/>
  <c r="C10" i="1" s="1"/>
  <c r="C15" i="1" s="1"/>
  <c r="C56" i="1"/>
  <c r="D56" i="1" s="1"/>
  <c r="E56" i="1" s="1"/>
  <c r="H29" i="1"/>
  <c r="I30" i="1" s="1"/>
  <c r="P2" i="1"/>
  <c r="H28" i="1"/>
  <c r="B56" i="1"/>
  <c r="C13" i="1" l="1"/>
  <c r="F56" i="1"/>
  <c r="G56" i="1" s="1"/>
  <c r="C11" i="1"/>
  <c r="C12" i="1"/>
  <c r="C18" i="1"/>
  <c r="C14" i="1" l="1"/>
  <c r="C17" i="1" s="1"/>
  <c r="C26" i="1" s="1"/>
  <c r="C27" i="1" s="1"/>
  <c r="M2" i="1" s="1"/>
  <c r="C57" i="1" l="1"/>
  <c r="D57" i="1" s="1"/>
  <c r="E57" i="1" s="1"/>
  <c r="C58" i="1" l="1"/>
  <c r="C29" i="1"/>
  <c r="D30" i="1" s="1"/>
  <c r="B57" i="1"/>
  <c r="C28" i="1"/>
  <c r="B58" i="1" l="1"/>
  <c r="F57" i="1"/>
  <c r="G57" i="1" s="1"/>
</calcChain>
</file>

<file path=xl/sharedStrings.xml><?xml version="1.0" encoding="utf-8"?>
<sst xmlns="http://schemas.openxmlformats.org/spreadsheetml/2006/main" count="81" uniqueCount="62">
  <si>
    <t>RICAVI</t>
  </si>
  <si>
    <t>ALIQUOTE INPS</t>
  </si>
  <si>
    <t>Colonna1</t>
  </si>
  <si>
    <t>Q.TA FISSA</t>
  </si>
  <si>
    <t>SULL'ECCEDENZA</t>
  </si>
  <si>
    <t>REDDITO ECCED. MINIM.</t>
  </si>
  <si>
    <t>SCAGLIONE INPS</t>
  </si>
  <si>
    <t>CONTRIB. SULLO SCAGL.</t>
  </si>
  <si>
    <t>ALIQUOTA SULL'ECCED.</t>
  </si>
  <si>
    <t>CONTRIB. SULL'ECCED.</t>
  </si>
  <si>
    <t>IMPONIBILE IMPOSTA SOST.</t>
  </si>
  <si>
    <t>IMPOSTA SOSTITUTIVA</t>
  </si>
  <si>
    <t>DIVISO 13 MENSILITA'</t>
  </si>
  <si>
    <t>RIDUZIONE CONTRIBUTIVA</t>
  </si>
  <si>
    <t>DIVISO 12 MENSILITA'</t>
  </si>
  <si>
    <t>totale contribuzione</t>
  </si>
  <si>
    <t>ALIQUOTE IRPEF</t>
  </si>
  <si>
    <t xml:space="preserve">Q.TA FISSA </t>
  </si>
  <si>
    <t>500+(1265-500)*(28000-REDDITO)/(28000-5500)</t>
  </si>
  <si>
    <t>500*(50000-REDDITO)/(50000-28000)</t>
  </si>
  <si>
    <t>OLTRE</t>
  </si>
  <si>
    <t>IMPOSTA SULLO SCAGLIONE</t>
  </si>
  <si>
    <t>ALIQUOTA SULL'ECCEDENZA</t>
  </si>
  <si>
    <t>IMPOSTA SULL'ECCEDENZA</t>
  </si>
  <si>
    <t>altre deduz. Oltre inps</t>
  </si>
  <si>
    <t>altre detrazioni manuali</t>
  </si>
  <si>
    <t>Totale IRPEF</t>
  </si>
  <si>
    <t>addizionali reg./com.</t>
  </si>
  <si>
    <t>REDDITO ECCEDENZA SCAGLIONE</t>
  </si>
  <si>
    <t>DETRAZIONI  lavoro autonomo</t>
  </si>
  <si>
    <t>totale imposte e contributi</t>
  </si>
  <si>
    <t>FORFETTARIO</t>
  </si>
  <si>
    <t>SEMPLIFICATO IN IRPEF</t>
  </si>
  <si>
    <t>UTILE</t>
  </si>
  <si>
    <t>SEMPLIFICATO</t>
  </si>
  <si>
    <t>IMPOSTE E CONTRIBUTI</t>
  </si>
  <si>
    <t>REDDITO EFFETTIVO</t>
  </si>
  <si>
    <t>ALIQ.TA</t>
  </si>
  <si>
    <t>ARTIGIANO</t>
  </si>
  <si>
    <t>CALCOLO DETRAZIONI LAV. AUTONOMO</t>
  </si>
  <si>
    <t>SCAGLIONI DETR.</t>
  </si>
  <si>
    <t>ALIQ. MEDIA IVA ACQ. INDETR. FORF.</t>
  </si>
  <si>
    <t>UTILE NETTO IMPOSIZIONE</t>
  </si>
  <si>
    <t>redditività oraria per h</t>
  </si>
  <si>
    <t>DIFFERENZA SEMPLIF. VS FORFETT.</t>
  </si>
  <si>
    <t>COMMERCIANTE</t>
  </si>
  <si>
    <t>%COMPLEM.</t>
  </si>
  <si>
    <t>% PREL/RIC</t>
  </si>
  <si>
    <t>UTILE NETTO IMPOSIZIONE E IVA INDETR.</t>
  </si>
  <si>
    <t>%utili netti vs ric</t>
  </si>
  <si>
    <t>%COMPL</t>
  </si>
  <si>
    <t>COSTI FISSI</t>
  </si>
  <si>
    <t>% INCIDENZA COSTI VARIABILI</t>
  </si>
  <si>
    <t>TOTALE COSTI</t>
  </si>
  <si>
    <t>REDDITO IMPONIBILE NETTO CONTRIBUZIONE</t>
  </si>
  <si>
    <t>PERCENTUALE DI REDDITIVITA'</t>
  </si>
  <si>
    <t>UTILE FORFETTARIO</t>
  </si>
  <si>
    <t>REDDITO IMPONIBILE NETTO CONTRIBUZ. FORFETTARIO</t>
  </si>
  <si>
    <t>Utile obiettivo</t>
  </si>
  <si>
    <t>Ricavo ob.</t>
  </si>
  <si>
    <t>Aliq. G.S. o manuale</t>
  </si>
  <si>
    <t>PROF. GEST.SEP.(26,23%)/CASSA PRIV.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</si>
</sst>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[$€-410]_-;\-* #,##0\ [$€-410]_-;_-* &quot;-&quot;??\ [$€-410]_-;_-@_-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rgb="FF3F3F76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0"/>
      <name val="Calibri"/>
      <family val="2"/>
      <scheme val="minor"/>
    </font>
    <font>
      <b/>
      <sz val="14"/>
      <color rgb="FF0070C0"/>
      <name val="Calibri Light"/>
      <family val="2"/>
      <scheme val="major"/>
    </font>
    <font>
      <b/>
      <sz val="14"/>
      <color rgb="FFFA7D00"/>
      <name val="Calibri Light"/>
      <family val="2"/>
      <scheme val="major"/>
    </font>
    <font>
      <sz val="14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2" borderId="1" applyNumberFormat="0" applyAlignment="0" applyProtection="0"/>
    <xf numFmtId="0" fontId="4" fillId="3" borderId="1" applyNumberFormat="0" applyAlignment="0" applyProtection="0"/>
    <xf numFmtId="0" fontId="2" fillId="0" borderId="2" applyNumberFormat="0" applyFill="0" applyAlignment="0" applyProtection="0"/>
    <xf numFmtId="0" fontId="1" fillId="4" borderId="0" applyNumberFormat="0" applyBorder="0" applyAlignment="0" applyProtection="0"/>
    <xf numFmtId="0" fontId="1" fillId="10" borderId="4" applyNumberFormat="0" applyFont="0" applyAlignment="0" applyProtection="0"/>
  </cellStyleXfs>
  <cellXfs count="105">
    <xf numFmtId="0" fontId="0" fillId="0" borderId="0" xfId="0"/>
    <xf numFmtId="10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0" borderId="0" xfId="2" applyNumberFormat="1" applyFont="1"/>
    <xf numFmtId="0" fontId="0" fillId="0" borderId="0" xfId="0" applyProtection="1">
      <protection hidden="1"/>
    </xf>
    <xf numFmtId="0" fontId="5" fillId="5" borderId="2" xfId="6" applyFont="1" applyFill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9" fillId="11" borderId="5" xfId="0" applyFont="1" applyFill="1" applyBorder="1"/>
    <xf numFmtId="0" fontId="9" fillId="11" borderId="6" xfId="0" applyFont="1" applyFill="1" applyBorder="1"/>
    <xf numFmtId="0" fontId="9" fillId="11" borderId="7" xfId="0" applyFont="1" applyFill="1" applyBorder="1"/>
    <xf numFmtId="0" fontId="0" fillId="0" borderId="6" xfId="0" applyBorder="1"/>
    <xf numFmtId="0" fontId="0" fillId="12" borderId="11" xfId="0" applyFill="1" applyBorder="1"/>
    <xf numFmtId="0" fontId="5" fillId="7" borderId="0" xfId="0" applyFont="1" applyFill="1" applyAlignment="1" applyProtection="1">
      <alignment horizontal="left"/>
      <protection hidden="1"/>
    </xf>
    <xf numFmtId="165" fontId="7" fillId="2" borderId="0" xfId="2" applyNumberFormat="1" applyFont="1" applyFill="1" applyBorder="1" applyAlignment="1" applyProtection="1">
      <alignment horizontal="right"/>
      <protection locked="0"/>
    </xf>
    <xf numFmtId="0" fontId="5" fillId="7" borderId="0" xfId="0" applyFont="1" applyFill="1" applyProtection="1">
      <protection hidden="1"/>
    </xf>
    <xf numFmtId="0" fontId="10" fillId="0" borderId="0" xfId="0" applyFont="1" applyAlignment="1" applyProtection="1">
      <alignment horizontal="right"/>
      <protection hidden="1"/>
    </xf>
    <xf numFmtId="10" fontId="6" fillId="10" borderId="14" xfId="8" applyNumberFormat="1" applyFont="1" applyBorder="1" applyProtection="1">
      <protection locked="0"/>
    </xf>
    <xf numFmtId="9" fontId="7" fillId="2" borderId="0" xfId="1" applyFont="1" applyFill="1" applyBorder="1" applyAlignment="1" applyProtection="1">
      <alignment horizontal="right"/>
      <protection locked="0"/>
    </xf>
    <xf numFmtId="9" fontId="5" fillId="7" borderId="0" xfId="1" applyFont="1" applyFill="1" applyBorder="1" applyAlignment="1" applyProtection="1">
      <alignment horizontal="left"/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5" fillId="7" borderId="3" xfId="0" applyFont="1" applyFill="1" applyBorder="1" applyAlignment="1" applyProtection="1">
      <alignment horizontal="left"/>
      <protection hidden="1"/>
    </xf>
    <xf numFmtId="165" fontId="5" fillId="7" borderId="3" xfId="2" applyNumberFormat="1" applyFont="1" applyFill="1" applyBorder="1" applyProtection="1">
      <protection hidden="1"/>
    </xf>
    <xf numFmtId="9" fontId="5" fillId="7" borderId="3" xfId="1" applyFont="1" applyFill="1" applyBorder="1" applyAlignment="1" applyProtection="1">
      <alignment horizontal="left"/>
      <protection hidden="1"/>
    </xf>
    <xf numFmtId="9" fontId="10" fillId="0" borderId="0" xfId="1" applyFont="1" applyBorder="1" applyAlignment="1" applyProtection="1">
      <alignment horizontal="left"/>
      <protection hidden="1"/>
    </xf>
    <xf numFmtId="165" fontId="5" fillId="7" borderId="0" xfId="2" applyNumberFormat="1" applyFont="1" applyFill="1" applyProtection="1">
      <protection hidden="1"/>
    </xf>
    <xf numFmtId="9" fontId="7" fillId="2" borderId="0" xfId="1" applyFont="1" applyFill="1" applyBorder="1" applyAlignment="1" applyProtection="1">
      <alignment horizontal="left"/>
      <protection locked="0"/>
    </xf>
    <xf numFmtId="10" fontId="6" fillId="0" borderId="0" xfId="1" applyNumberFormat="1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Protection="1">
      <protection hidden="1"/>
    </xf>
    <xf numFmtId="165" fontId="11" fillId="2" borderId="0" xfId="2" applyNumberFormat="1" applyFont="1" applyFill="1" applyBorder="1" applyProtection="1">
      <protection locked="0"/>
    </xf>
    <xf numFmtId="0" fontId="10" fillId="0" borderId="0" xfId="0" applyFont="1" applyAlignment="1" applyProtection="1">
      <alignment horizontal="left"/>
      <protection hidden="1"/>
    </xf>
    <xf numFmtId="9" fontId="7" fillId="2" borderId="0" xfId="1" applyFont="1" applyFill="1" applyBorder="1" applyAlignment="1" applyProtection="1">
      <alignment horizontal="center"/>
      <protection locked="0"/>
    </xf>
    <xf numFmtId="165" fontId="10" fillId="0" borderId="0" xfId="2" applyNumberFormat="1" applyFont="1" applyBorder="1" applyProtection="1">
      <protection hidden="1"/>
    </xf>
    <xf numFmtId="9" fontId="10" fillId="0" borderId="0" xfId="1" applyFont="1" applyBorder="1" applyProtection="1">
      <protection hidden="1"/>
    </xf>
    <xf numFmtId="165" fontId="10" fillId="0" borderId="0" xfId="2" applyNumberFormat="1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165" fontId="12" fillId="0" borderId="0" xfId="2" applyNumberFormat="1" applyFont="1" applyBorder="1" applyProtection="1">
      <protection hidden="1"/>
    </xf>
    <xf numFmtId="0" fontId="14" fillId="8" borderId="0" xfId="0" applyFont="1" applyFill="1" applyProtection="1">
      <protection hidden="1"/>
    </xf>
    <xf numFmtId="165" fontId="14" fillId="8" borderId="0" xfId="2" applyNumberFormat="1" applyFont="1" applyFill="1" applyProtection="1">
      <protection hidden="1"/>
    </xf>
    <xf numFmtId="0" fontId="14" fillId="9" borderId="0" xfId="0" applyFont="1" applyFill="1" applyProtection="1">
      <protection hidden="1"/>
    </xf>
    <xf numFmtId="0" fontId="6" fillId="9" borderId="0" xfId="0" applyFont="1" applyFill="1" applyProtection="1">
      <protection hidden="1"/>
    </xf>
    <xf numFmtId="165" fontId="14" fillId="9" borderId="0" xfId="2" applyNumberFormat="1" applyFont="1" applyFill="1" applyProtection="1">
      <protection hidden="1"/>
    </xf>
    <xf numFmtId="165" fontId="6" fillId="0" borderId="0" xfId="2" applyNumberFormat="1" applyFont="1" applyBorder="1" applyProtection="1">
      <protection hidden="1"/>
    </xf>
    <xf numFmtId="10" fontId="10" fillId="0" borderId="0" xfId="1" applyNumberFormat="1" applyFont="1" applyBorder="1" applyProtection="1">
      <protection hidden="1"/>
    </xf>
    <xf numFmtId="0" fontId="5" fillId="5" borderId="2" xfId="6" applyFont="1" applyFill="1" applyProtection="1">
      <protection hidden="1"/>
    </xf>
    <xf numFmtId="165" fontId="5" fillId="5" borderId="2" xfId="2" applyNumberFormat="1" applyFont="1" applyFill="1" applyBorder="1" applyProtection="1">
      <protection hidden="1"/>
    </xf>
    <xf numFmtId="0" fontId="5" fillId="6" borderId="2" xfId="6" applyFont="1" applyFill="1" applyProtection="1">
      <protection hidden="1"/>
    </xf>
    <xf numFmtId="165" fontId="5" fillId="6" borderId="2" xfId="2" applyNumberFormat="1" applyFont="1" applyFill="1" applyBorder="1" applyProtection="1">
      <protection hidden="1"/>
    </xf>
    <xf numFmtId="0" fontId="14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43" fontId="15" fillId="3" borderId="1" xfId="5" applyNumberFormat="1" applyFont="1" applyProtection="1">
      <protection hidden="1"/>
    </xf>
    <xf numFmtId="43" fontId="15" fillId="3" borderId="1" xfId="5" applyNumberFormat="1" applyFont="1" applyAlignment="1" applyProtection="1">
      <alignment horizontal="center"/>
      <protection hidden="1"/>
    </xf>
    <xf numFmtId="0" fontId="11" fillId="2" borderId="0" xfId="4" applyFont="1" applyBorder="1" applyProtection="1">
      <protection locked="0" hidden="1"/>
    </xf>
    <xf numFmtId="0" fontId="7" fillId="2" borderId="0" xfId="4" applyFont="1" applyBorder="1" applyAlignment="1" applyProtection="1">
      <alignment horizontal="center"/>
      <protection locked="0" hidden="1"/>
    </xf>
    <xf numFmtId="0" fontId="16" fillId="0" borderId="0" xfId="0" applyFont="1" applyProtection="1">
      <protection hidden="1"/>
    </xf>
    <xf numFmtId="0" fontId="13" fillId="0" borderId="0" xfId="0" applyFont="1" applyProtection="1">
      <protection locked="0" hidden="1"/>
    </xf>
    <xf numFmtId="3" fontId="0" fillId="0" borderId="5" xfId="0" applyNumberFormat="1" applyBorder="1"/>
    <xf numFmtId="3" fontId="0" fillId="0" borderId="6" xfId="0" applyNumberFormat="1" applyBorder="1"/>
    <xf numFmtId="10" fontId="0" fillId="0" borderId="7" xfId="0" applyNumberFormat="1" applyBorder="1"/>
    <xf numFmtId="10" fontId="0" fillId="0" borderId="7" xfId="1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10" fontId="0" fillId="0" borderId="10" xfId="1" applyNumberFormat="1" applyFont="1" applyBorder="1"/>
    <xf numFmtId="165" fontId="0" fillId="0" borderId="5" xfId="2" applyNumberFormat="1" applyFont="1" applyBorder="1"/>
    <xf numFmtId="9" fontId="0" fillId="0" borderId="7" xfId="0" applyNumberFormat="1" applyBorder="1"/>
    <xf numFmtId="9" fontId="0" fillId="0" borderId="10" xfId="0" applyNumberFormat="1" applyBorder="1"/>
    <xf numFmtId="1" fontId="0" fillId="0" borderId="7" xfId="3" applyNumberFormat="1" applyFont="1" applyBorder="1" applyAlignment="1">
      <alignment horizontal="center"/>
    </xf>
    <xf numFmtId="1" fontId="0" fillId="0" borderId="7" xfId="3" applyNumberFormat="1" applyFont="1" applyBorder="1" applyAlignment="1">
      <alignment horizontal="center" wrapText="1"/>
    </xf>
    <xf numFmtId="3" fontId="0" fillId="0" borderId="8" xfId="0" applyNumberFormat="1" applyBorder="1" applyAlignment="1">
      <alignment horizontal="right"/>
    </xf>
    <xf numFmtId="1" fontId="0" fillId="0" borderId="10" xfId="3" applyNumberFormat="1" applyFont="1" applyBorder="1" applyAlignment="1">
      <alignment horizontal="center"/>
    </xf>
    <xf numFmtId="0" fontId="9" fillId="11" borderId="15" xfId="0" applyFont="1" applyFill="1" applyBorder="1"/>
    <xf numFmtId="0" fontId="9" fillId="11" borderId="16" xfId="0" applyFont="1" applyFill="1" applyBorder="1"/>
    <xf numFmtId="9" fontId="9" fillId="11" borderId="16" xfId="1" applyFont="1" applyFill="1" applyBorder="1"/>
    <xf numFmtId="0" fontId="9" fillId="11" borderId="17" xfId="0" applyFont="1" applyFill="1" applyBorder="1"/>
    <xf numFmtId="0" fontId="0" fillId="12" borderId="15" xfId="0" applyFill="1" applyBorder="1"/>
    <xf numFmtId="164" fontId="0" fillId="12" borderId="16" xfId="0" applyNumberFormat="1" applyFill="1" applyBorder="1"/>
    <xf numFmtId="3" fontId="0" fillId="12" borderId="16" xfId="0" applyNumberFormat="1" applyFill="1" applyBorder="1"/>
    <xf numFmtId="9" fontId="0" fillId="12" borderId="16" xfId="1" applyFont="1" applyFill="1" applyBorder="1"/>
    <xf numFmtId="9" fontId="0" fillId="12" borderId="16" xfId="0" applyNumberFormat="1" applyFill="1" applyBorder="1"/>
    <xf numFmtId="9" fontId="0" fillId="12" borderId="17" xfId="0" applyNumberFormat="1" applyFill="1" applyBorder="1"/>
    <xf numFmtId="0" fontId="0" fillId="0" borderId="15" xfId="0" applyBorder="1"/>
    <xf numFmtId="164" fontId="0" fillId="0" borderId="16" xfId="0" applyNumberFormat="1" applyBorder="1"/>
    <xf numFmtId="3" fontId="0" fillId="0" borderId="16" xfId="0" applyNumberFormat="1" applyBorder="1"/>
    <xf numFmtId="9" fontId="0" fillId="0" borderId="16" xfId="1" applyFont="1" applyBorder="1"/>
    <xf numFmtId="9" fontId="0" fillId="0" borderId="16" xfId="0" applyNumberFormat="1" applyBorder="1"/>
    <xf numFmtId="9" fontId="0" fillId="0" borderId="17" xfId="0" applyNumberFormat="1" applyBorder="1"/>
    <xf numFmtId="164" fontId="0" fillId="12" borderId="12" xfId="0" applyNumberFormat="1" applyFill="1" applyBorder="1"/>
    <xf numFmtId="3" fontId="0" fillId="12" borderId="12" xfId="0" applyNumberFormat="1" applyFill="1" applyBorder="1"/>
    <xf numFmtId="9" fontId="0" fillId="12" borderId="12" xfId="1" applyFont="1" applyFill="1" applyBorder="1"/>
    <xf numFmtId="9" fontId="0" fillId="12" borderId="12" xfId="0" applyNumberFormat="1" applyFill="1" applyBorder="1"/>
    <xf numFmtId="165" fontId="0" fillId="12" borderId="12" xfId="0" applyNumberFormat="1" applyFill="1" applyBorder="1"/>
    <xf numFmtId="9" fontId="0" fillId="12" borderId="13" xfId="0" applyNumberFormat="1" applyFill="1" applyBorder="1"/>
    <xf numFmtId="165" fontId="7" fillId="2" borderId="1" xfId="4" applyNumberFormat="1" applyFont="1" applyProtection="1">
      <protection locked="0" hidden="1"/>
    </xf>
    <xf numFmtId="165" fontId="8" fillId="3" borderId="1" xfId="5" applyNumberFormat="1" applyFont="1" applyProtection="1">
      <protection hidden="1"/>
    </xf>
    <xf numFmtId="0" fontId="8" fillId="3" borderId="1" xfId="5" applyFont="1" applyProtection="1">
      <protection hidden="1"/>
    </xf>
    <xf numFmtId="0" fontId="6" fillId="10" borderId="4" xfId="8" applyFont="1" applyAlignment="1" applyProtection="1">
      <alignment horizontal="center"/>
      <protection hidden="1"/>
    </xf>
    <xf numFmtId="165" fontId="7" fillId="2" borderId="1" xfId="2" applyNumberFormat="1" applyFont="1" applyFill="1" applyBorder="1" applyAlignment="1" applyProtection="1">
      <alignment horizontal="center"/>
      <protection locked="0"/>
    </xf>
    <xf numFmtId="0" fontId="5" fillId="5" borderId="0" xfId="6" applyFont="1" applyFill="1" applyBorder="1" applyAlignment="1" applyProtection="1">
      <alignment horizontal="right"/>
      <protection hidden="1"/>
    </xf>
    <xf numFmtId="0" fontId="5" fillId="5" borderId="0" xfId="7" applyFont="1" applyFill="1" applyBorder="1" applyAlignment="1" applyProtection="1">
      <alignment horizontal="center" vertical="center"/>
      <protection hidden="1"/>
    </xf>
    <xf numFmtId="0" fontId="5" fillId="6" borderId="0" xfId="7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right"/>
      <protection hidden="1"/>
    </xf>
  </cellXfs>
  <cellStyles count="9">
    <cellStyle name="40% - Colore 1" xfId="7" builtinId="31"/>
    <cellStyle name="Calcolo" xfId="5" builtinId="22"/>
    <cellStyle name="Input" xfId="4" builtinId="20"/>
    <cellStyle name="Migliaia" xfId="2" builtinId="3"/>
    <cellStyle name="Normale" xfId="0" builtinId="0"/>
    <cellStyle name="Nota" xfId="8" builtinId="10"/>
    <cellStyle name="Percentuale" xfId="1" builtinId="5"/>
    <cellStyle name="Totale" xfId="6" builtinId="25"/>
    <cellStyle name="Valuta" xfId="3" builtinId="4"/>
  </cellStyles>
  <dxfs count="1">
    <dxf>
      <font>
        <b/>
        <i val="0"/>
        <color rgb="FF9C0006"/>
      </font>
    </dxf>
  </dxfs>
  <tableStyles count="1" defaultTableStyle="TableStyleMedium2" defaultPivotStyle="PivotStyleLight16">
    <tableStyle name="Invisible" pivot="0" table="0" count="0" xr9:uid="{5961C81E-C16A-4770-8BBD-07262FCF5C4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sng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en-US" sz="2800" b="1" u="sng">
                <a:solidFill>
                  <a:srgbClr val="FF0000"/>
                </a:solidFill>
              </a:rPr>
              <a:t>FORFETTARIO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sng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1474459425359443"/>
          <c:y val="0.23550654150397612"/>
          <c:w val="0.61230942442940084"/>
          <c:h val="0.63620777833185505"/>
        </c:manualLayout>
      </c:layout>
      <c:doughnutChart>
        <c:varyColors val="1"/>
        <c:ser>
          <c:idx val="0"/>
          <c:order val="0"/>
          <c:tx>
            <c:v>BASE</c:v>
          </c:tx>
          <c:spPr>
            <a:solidFill>
              <a:schemeClr val="accent2"/>
            </a:solidFill>
          </c:spPr>
          <c:explosion val="15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0E-4A92-84FB-3E6DBAF524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0E-4A92-84FB-3E6DBAF52415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0E-4A92-84FB-3E6DBAF5241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0E-4A92-84FB-3E6DBAF52415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0E-4A92-84FB-3E6DBAF52415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A0E-4A92-84FB-3E6DBAF52415}"/>
              </c:ext>
            </c:extLst>
          </c:dPt>
          <c:dPt>
            <c:idx val="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A0E-4A92-84FB-3E6DBAF52415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A0E-4A92-84FB-3E6DBAF52415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A0E-4A92-84FB-3E6DBAF52415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A0E-4A92-84FB-3E6DBAF52415}"/>
              </c:ext>
            </c:extLst>
          </c:dPt>
          <c:dPt>
            <c:idx val="1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A0E-4A92-84FB-3E6DBAF52415}"/>
              </c:ext>
            </c:extLst>
          </c:dPt>
          <c:dPt>
            <c:idx val="1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A0E-4A92-84FB-3E6DBAF52415}"/>
              </c:ext>
            </c:extLst>
          </c:dPt>
          <c:dPt>
            <c:idx val="1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A0E-4A92-84FB-3E6DBAF52415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A0E-4A92-84FB-3E6DBAF52415}"/>
              </c:ext>
            </c:extLst>
          </c:dPt>
          <c:dPt>
            <c:idx val="14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A0E-4A92-84FB-3E6DBAF52415}"/>
              </c:ext>
            </c:extLst>
          </c:dPt>
          <c:dPt>
            <c:idx val="1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A0E-4A92-84FB-3E6DBAF52415}"/>
              </c:ext>
            </c:extLst>
          </c:dPt>
          <c:dPt>
            <c:idx val="16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A0E-4A92-84FB-3E6DBAF52415}"/>
              </c:ext>
            </c:extLst>
          </c:dPt>
          <c:dPt>
            <c:idx val="1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A0E-4A92-84FB-3E6DBAF52415}"/>
              </c:ext>
            </c:extLst>
          </c:dPt>
          <c:dPt>
            <c:idx val="18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A0E-4A92-84FB-3E6DBAF52415}"/>
              </c:ext>
            </c:extLst>
          </c:dPt>
          <c:dPt>
            <c:idx val="1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A0E-4A92-84FB-3E6DBAF52415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2BF7-40CD-9AA8-5AF1AC0DA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v>PRELIEVO SU RICAVI</c:v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BF7-40CD-9AA8-5AF1AC0DAC4E}"/>
              </c:ext>
            </c:extLst>
          </c:dPt>
          <c:dPt>
            <c:idx val="1"/>
            <c:bubble3D val="0"/>
            <c:spPr>
              <a:solidFill>
                <a:schemeClr val="bg1">
                  <a:alpha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F7-40CD-9AA8-5AF1AC0DAC4E}"/>
              </c:ext>
            </c:extLst>
          </c:dPt>
          <c:dLbls>
            <c:dLbl>
              <c:idx val="0"/>
              <c:layout>
                <c:manualLayout>
                  <c:x val="-0.16592593048018611"/>
                  <c:y val="2.420749059815370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7-40CD-9AA8-5AF1AC0DAC4E}"/>
                </c:ext>
              </c:extLst>
            </c:dLbl>
            <c:dLbl>
              <c:idx val="1"/>
              <c:layout>
                <c:manualLayout>
                  <c:x val="0.10492375015658828"/>
                  <c:y val="-5.64841447290254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7-40CD-9AA8-5AF1AC0DAC4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artcom!$D$56:$E$56</c:f>
              <c:numCache>
                <c:formatCode>0%</c:formatCode>
                <c:ptCount val="2"/>
                <c:pt idx="0">
                  <c:v>0.21531120000000001</c:v>
                </c:pt>
                <c:pt idx="1">
                  <c:v>0.78468879999999996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F7-40CD-9AA8-5AF1AC0DAC4E}"/>
            </c:ext>
          </c:extLst>
        </c:ser>
        <c:ser>
          <c:idx val="2"/>
          <c:order val="2"/>
          <c:tx>
            <c:v>UTILI SU RICAVI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2BF7-40CD-9AA8-5AF1AC0DAC4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2BF7-40CD-9AA8-5AF1AC0DAC4E}"/>
              </c:ext>
            </c:extLst>
          </c:dPt>
          <c:dLbls>
            <c:dLbl>
              <c:idx val="0"/>
              <c:layout>
                <c:manualLayout>
                  <c:x val="0.12451559806877029"/>
                  <c:y val="-0.10864181843177956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D-2BF7-40CD-9AA8-5AF1AC0DA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artcom!$F$56:$G$56</c:f>
              <c:numCache>
                <c:formatCode>0%</c:formatCode>
                <c:ptCount val="2"/>
                <c:pt idx="0">
                  <c:v>5.8097890909090906E-2</c:v>
                </c:pt>
                <c:pt idx="1">
                  <c:v>0.9419021090909091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2BF7-40CD-9AA8-5AF1AC0DA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it-IT" sz="1600" b="1" i="0" u="sng" strike="noStrike" kern="1200" spc="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r>
              <a:rPr lang="it-IT" sz="2800" b="1" i="0" u="sng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rPr>
              <a:t>SEMPLIFICATO</a:t>
            </a:r>
          </a:p>
        </c:rich>
      </c:tx>
      <c:layout>
        <c:manualLayout>
          <c:xMode val="edge"/>
          <c:yMode val="edge"/>
          <c:x val="0.276848150908174"/>
          <c:y val="3.514048599777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it-IT" sz="1600" b="1" i="0" u="sng" strike="noStrike" kern="1200" spc="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743977630321091"/>
          <c:y val="0.207912319808917"/>
          <c:w val="0.67977137478205374"/>
          <c:h val="0.66316000011594844"/>
        </c:manualLayout>
      </c:layout>
      <c:doughnutChart>
        <c:varyColors val="1"/>
        <c:ser>
          <c:idx val="0"/>
          <c:order val="0"/>
          <c:tx>
            <c:v>BASE</c:v>
          </c:tx>
          <c:spPr>
            <a:solidFill>
              <a:schemeClr val="accent1"/>
            </a:solidFill>
          </c:spPr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E9-493B-8764-208061E43CA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E9-493B-8764-208061E43CA2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E9-493B-8764-208061E43CA2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E9-493B-8764-208061E43CA2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E9-493B-8764-208061E43CA2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4E9-493B-8764-208061E43CA2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4E9-493B-8764-208061E43CA2}"/>
              </c:ext>
            </c:extLst>
          </c:dPt>
          <c:dPt>
            <c:idx val="7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4E9-493B-8764-208061E43CA2}"/>
              </c:ext>
            </c:extLst>
          </c:dPt>
          <c:dPt>
            <c:idx val="8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4E9-493B-8764-208061E43CA2}"/>
              </c:ext>
            </c:extLst>
          </c:dPt>
          <c:dPt>
            <c:idx val="9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4E9-493B-8764-208061E43CA2}"/>
              </c:ext>
            </c:extLst>
          </c:dPt>
          <c:dPt>
            <c:idx val="1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4E9-493B-8764-208061E43CA2}"/>
              </c:ext>
            </c:extLst>
          </c:dPt>
          <c:dPt>
            <c:idx val="1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4E9-493B-8764-208061E43CA2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4E9-493B-8764-208061E43CA2}"/>
              </c:ext>
            </c:extLst>
          </c:dPt>
          <c:dPt>
            <c:idx val="13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4E9-493B-8764-208061E43CA2}"/>
              </c:ext>
            </c:extLst>
          </c:dPt>
          <c:dPt>
            <c:idx val="1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4E9-493B-8764-208061E43CA2}"/>
              </c:ext>
            </c:extLst>
          </c:dPt>
          <c:dPt>
            <c:idx val="15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A4E9-493B-8764-208061E43CA2}"/>
              </c:ext>
            </c:extLst>
          </c:dPt>
          <c:dPt>
            <c:idx val="16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A4E9-493B-8764-208061E43CA2}"/>
              </c:ext>
            </c:extLst>
          </c:dPt>
          <c:dPt>
            <c:idx val="17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A4E9-493B-8764-208061E43CA2}"/>
              </c:ext>
            </c:extLst>
          </c:dPt>
          <c:dPt>
            <c:idx val="18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A4E9-493B-8764-208061E43CA2}"/>
              </c:ext>
            </c:extLst>
          </c:dPt>
          <c:dPt>
            <c:idx val="19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A4E9-493B-8764-208061E43CA2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8-A4E9-493B-8764-208061E43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5"/>
      </c:doughnutChart>
      <c:doughnutChart>
        <c:varyColors val="1"/>
        <c:ser>
          <c:idx val="1"/>
          <c:order val="1"/>
          <c:tx>
            <c:v>PRELIEVO SU RICAVI</c:v>
          </c:tx>
          <c:spPr>
            <a:solidFill>
              <a:schemeClr val="bg1">
                <a:alpha val="74000"/>
              </a:schemeClr>
            </a:solidFill>
          </c:spPr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A4E9-493B-8764-208061E43CA2}"/>
              </c:ext>
            </c:extLst>
          </c:dPt>
          <c:dPt>
            <c:idx val="1"/>
            <c:bubble3D val="0"/>
            <c:spPr>
              <a:solidFill>
                <a:schemeClr val="bg1">
                  <a:alpha val="7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A4E9-493B-8764-208061E43CA2}"/>
              </c:ext>
            </c:extLst>
          </c:dPt>
          <c:dLbls>
            <c:dLbl>
              <c:idx val="0"/>
              <c:layout>
                <c:manualLayout>
                  <c:x val="-0.19628370197918543"/>
                  <c:y val="-0.16605485997742847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441631068641906"/>
                      <c:h val="2.97733354213353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A-A4E9-493B-8764-208061E43CA2}"/>
                </c:ext>
              </c:extLst>
            </c:dLbl>
            <c:dLbl>
              <c:idx val="1"/>
              <c:layout>
                <c:manualLayout>
                  <c:x val="0.12075442994044287"/>
                  <c:y val="5.15390702676378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4E9-493B-8764-208061E43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artcom!$D$57:$E$57</c:f>
              <c:numCache>
                <c:formatCode>0%</c:formatCode>
                <c:ptCount val="2"/>
                <c:pt idx="0">
                  <c:v>0.14695041486868687</c:v>
                </c:pt>
                <c:pt idx="1">
                  <c:v>0.85304958513131313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A4E9-493B-8764-208061E43CA2}"/>
            </c:ext>
          </c:extLst>
        </c:ser>
        <c:ser>
          <c:idx val="2"/>
          <c:order val="2"/>
          <c:tx>
            <c:v>UTILI SU RICAVI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A4E9-493B-8764-208061E43CA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0-A4E9-493B-8764-208061E43CA2}"/>
              </c:ext>
            </c:extLst>
          </c:dPt>
          <c:dLbls>
            <c:dLbl>
              <c:idx val="0"/>
              <c:layout>
                <c:manualLayout>
                  <c:x val="8.5751813613170358E-2"/>
                  <c:y val="-0.1319850638950065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4E9-493B-8764-208061E43C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4E9-493B-8764-208061E43CA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artcom!$F$57:$G$57</c:f>
              <c:numCache>
                <c:formatCode>0%</c:formatCode>
                <c:ptCount val="2"/>
                <c:pt idx="0">
                  <c:v>0.22123140331313129</c:v>
                </c:pt>
                <c:pt idx="1">
                  <c:v>0.77876859668686871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A4E9-493B-8764-208061E43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H$4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fmlaLink="$I$4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</xdr:row>
          <xdr:rowOff>19050</xdr:rowOff>
        </xdr:from>
        <xdr:to>
          <xdr:col>6</xdr:col>
          <xdr:colOff>409575</xdr:colOff>
          <xdr:row>3</xdr:row>
          <xdr:rowOff>9525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</xdr:row>
          <xdr:rowOff>19050</xdr:rowOff>
        </xdr:from>
        <xdr:to>
          <xdr:col>6</xdr:col>
          <xdr:colOff>409575</xdr:colOff>
          <xdr:row>4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10</xdr:row>
          <xdr:rowOff>219075</xdr:rowOff>
        </xdr:from>
        <xdr:to>
          <xdr:col>7</xdr:col>
          <xdr:colOff>695325</xdr:colOff>
          <xdr:row>12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664754</xdr:colOff>
      <xdr:row>33</xdr:row>
      <xdr:rowOff>107941</xdr:rowOff>
    </xdr:from>
    <xdr:to>
      <xdr:col>9</xdr:col>
      <xdr:colOff>199377</xdr:colOff>
      <xdr:row>62</xdr:row>
      <xdr:rowOff>68036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83677</xdr:rowOff>
    </xdr:from>
    <xdr:to>
      <xdr:col>4</xdr:col>
      <xdr:colOff>4022</xdr:colOff>
      <xdr:row>62</xdr:row>
      <xdr:rowOff>61012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</xdr:row>
          <xdr:rowOff>19050</xdr:rowOff>
        </xdr:from>
        <xdr:to>
          <xdr:col>6</xdr:col>
          <xdr:colOff>409575</xdr:colOff>
          <xdr:row>2</xdr:row>
          <xdr:rowOff>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122464</xdr:colOff>
      <xdr:row>18</xdr:row>
      <xdr:rowOff>40821</xdr:rowOff>
    </xdr:from>
    <xdr:to>
      <xdr:col>3</xdr:col>
      <xdr:colOff>217714</xdr:colOff>
      <xdr:row>23</xdr:row>
      <xdr:rowOff>231321</xdr:rowOff>
    </xdr:to>
    <xdr:sp macro="" textlink="">
      <xdr:nvSpPr>
        <xdr:cNvPr id="4" name="Parentesi graffa chiusa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061857" y="4408714"/>
          <a:ext cx="95250" cy="1415143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108856</xdr:colOff>
      <xdr:row>18</xdr:row>
      <xdr:rowOff>0</xdr:rowOff>
    </xdr:from>
    <xdr:to>
      <xdr:col>8</xdr:col>
      <xdr:colOff>190498</xdr:colOff>
      <xdr:row>24</xdr:row>
      <xdr:rowOff>27215</xdr:rowOff>
    </xdr:to>
    <xdr:sp macro="" textlink="">
      <xdr:nvSpPr>
        <xdr:cNvPr id="5" name="Parentesi graffa chius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640785" y="4367893"/>
          <a:ext cx="81642" cy="149678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136070</xdr:colOff>
      <xdr:row>8</xdr:row>
      <xdr:rowOff>1</xdr:rowOff>
    </xdr:from>
    <xdr:to>
      <xdr:col>3</xdr:col>
      <xdr:colOff>231321</xdr:colOff>
      <xdr:row>17</xdr:row>
      <xdr:rowOff>217716</xdr:rowOff>
    </xdr:to>
    <xdr:sp macro="" textlink="">
      <xdr:nvSpPr>
        <xdr:cNvPr id="6" name="Parentesi graffa chius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75463" y="1918608"/>
          <a:ext cx="95251" cy="2422072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122464</xdr:colOff>
      <xdr:row>8</xdr:row>
      <xdr:rowOff>0</xdr:rowOff>
    </xdr:from>
    <xdr:to>
      <xdr:col>8</xdr:col>
      <xdr:colOff>190500</xdr:colOff>
      <xdr:row>17</xdr:row>
      <xdr:rowOff>13607</xdr:rowOff>
    </xdr:to>
    <xdr:sp macro="" textlink="">
      <xdr:nvSpPr>
        <xdr:cNvPr id="7" name="Parentesi graffa chius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654393" y="1918607"/>
          <a:ext cx="68036" cy="221796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oneCellAnchor>
    <xdr:from>
      <xdr:col>3</xdr:col>
      <xdr:colOff>264037</xdr:colOff>
      <xdr:row>17</xdr:row>
      <xdr:rowOff>216339</xdr:rowOff>
    </xdr:from>
    <xdr:ext cx="342786" cy="1585049"/>
    <xdr:sp macro="" textlink="">
      <xdr:nvSpPr>
        <xdr:cNvPr id="8" name="Rettango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6200000">
          <a:off x="4582298" y="4960435"/>
          <a:ext cx="1585049" cy="342786"/>
        </a:xfrm>
        <a:prstGeom prst="rect">
          <a:avLst/>
        </a:prstGeom>
        <a:solidFill>
          <a:schemeClr val="accent1"/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CONTRIBUZIONE</a:t>
          </a:r>
        </a:p>
      </xdr:txBody>
    </xdr:sp>
    <xdr:clientData/>
  </xdr:oneCellAnchor>
  <xdr:oneCellAnchor>
    <xdr:from>
      <xdr:col>8</xdr:col>
      <xdr:colOff>231322</xdr:colOff>
      <xdr:row>17</xdr:row>
      <xdr:rowOff>217714</xdr:rowOff>
    </xdr:from>
    <xdr:ext cx="342786" cy="1585049"/>
    <xdr:sp macro="" textlink="">
      <xdr:nvSpPr>
        <xdr:cNvPr id="10" name="Rettango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6200000">
          <a:off x="10142119" y="4961810"/>
          <a:ext cx="1585049" cy="342786"/>
        </a:xfrm>
        <a:prstGeom prst="rect">
          <a:avLst/>
        </a:prstGeom>
        <a:solidFill>
          <a:schemeClr val="accent2"/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CONTRIBUZIONE</a:t>
          </a:r>
        </a:p>
      </xdr:txBody>
    </xdr:sp>
    <xdr:clientData/>
  </xdr:oneCellAnchor>
  <xdr:oneCellAnchor>
    <xdr:from>
      <xdr:col>3</xdr:col>
      <xdr:colOff>258537</xdr:colOff>
      <xdr:row>10</xdr:row>
      <xdr:rowOff>166901</xdr:rowOff>
    </xdr:from>
    <xdr:ext cx="342786" cy="1305677"/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6200000">
          <a:off x="4716484" y="3056811"/>
          <a:ext cx="1305677" cy="342786"/>
        </a:xfrm>
        <a:prstGeom prst="rect">
          <a:avLst/>
        </a:prstGeom>
        <a:solidFill>
          <a:schemeClr val="accent1"/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IMP. DIRETTE</a:t>
          </a:r>
        </a:p>
      </xdr:txBody>
    </xdr:sp>
    <xdr:clientData/>
  </xdr:oneCellAnchor>
  <xdr:oneCellAnchor>
    <xdr:from>
      <xdr:col>8</xdr:col>
      <xdr:colOff>231324</xdr:colOff>
      <xdr:row>10</xdr:row>
      <xdr:rowOff>98865</xdr:rowOff>
    </xdr:from>
    <xdr:ext cx="342786" cy="1305678"/>
    <xdr:sp macro="" textlink="">
      <xdr:nvSpPr>
        <xdr:cNvPr id="12" name="Rettango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6200000">
          <a:off x="10281807" y="2988775"/>
          <a:ext cx="1305678" cy="342786"/>
        </a:xfrm>
        <a:prstGeom prst="rect">
          <a:avLst/>
        </a:prstGeom>
        <a:solidFill>
          <a:schemeClr val="accent2"/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IMP. DIRETTE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0.33477</cdr:x>
      <cdr:y>0.44574</cdr:y>
    </cdr:from>
    <cdr:to>
      <cdr:x>0.69999</cdr:x>
      <cdr:y>0.67246</cdr:y>
    </cdr:to>
    <cdr:sp macro="" textlink="artcom!$D$56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FA126BE2-1FA6-8E86-C7C8-619423884B41}"/>
            </a:ext>
          </a:extLst>
        </cdr:cNvPr>
        <cdr:cNvSpPr txBox="1"/>
      </cdr:nvSpPr>
      <cdr:spPr>
        <a:xfrm xmlns:a="http://schemas.openxmlformats.org/drawingml/2006/main">
          <a:off x="1907717" y="2444702"/>
          <a:ext cx="2081264" cy="1243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CC64C83-C7FE-477D-8E91-9A6B2583D838}" type="TxLink">
            <a:rPr lang="en-US" sz="6000" b="1" i="0" u="none" strike="noStrike">
              <a:solidFill>
                <a:schemeClr val="accent2"/>
              </a:solidFill>
              <a:latin typeface="+mn-lt"/>
              <a:cs typeface="Calibri"/>
            </a:rPr>
            <a:pPr algn="ctr"/>
            <a:t>22%</a:t>
          </a:fld>
          <a:endParaRPr lang="it-IT" sz="6000" b="1">
            <a:solidFill>
              <a:schemeClr val="accent2"/>
            </a:solidFill>
            <a:latin typeface="+mn-lt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0.29919</cdr:x>
      <cdr:y>0.42939</cdr:y>
    </cdr:from>
    <cdr:to>
      <cdr:x>0.6469</cdr:x>
      <cdr:y>0.62003</cdr:y>
    </cdr:to>
    <cdr:sp macro="" textlink="artcom!$D$57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FA126BE2-1FA6-8E86-C7C8-619423884B41}"/>
            </a:ext>
          </a:extLst>
        </cdr:cNvPr>
        <cdr:cNvSpPr txBox="1"/>
      </cdr:nvSpPr>
      <cdr:spPr>
        <a:xfrm xmlns:a="http://schemas.openxmlformats.org/drawingml/2006/main">
          <a:off x="1510406" y="2221966"/>
          <a:ext cx="1755322" cy="986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6C75DAE-9E75-4557-8373-C88CD6B0CF3E}" type="TxLink">
            <a:rPr lang="en-US" sz="6000" b="1" i="0" u="none" strike="noStrike">
              <a:solidFill>
                <a:schemeClr val="accent1"/>
              </a:solidFill>
              <a:latin typeface="+mn-lt"/>
              <a:cs typeface="Calibri"/>
            </a:rPr>
            <a:pPr algn="ctr"/>
            <a:t>15%</a:t>
          </a:fld>
          <a:endParaRPr lang="it-IT" sz="6000" b="1">
            <a:solidFill>
              <a:schemeClr val="accent1"/>
            </a:solidFill>
            <a:latin typeface="+mn-lt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90A0-7358-4994-9247-3B454323333E}">
  <sheetPr>
    <pageSetUpPr fitToPage="1"/>
  </sheetPr>
  <dimension ref="A1:R136"/>
  <sheetViews>
    <sheetView showGridLines="0" showRowColHeaders="0" tabSelected="1" zoomScale="70" zoomScaleNormal="70" workbookViewId="0">
      <selection activeCell="AF22" sqref="AF22"/>
    </sheetView>
  </sheetViews>
  <sheetFormatPr defaultRowHeight="15" x14ac:dyDescent="0.25"/>
  <cols>
    <col min="1" max="1" width="11" customWidth="1"/>
    <col min="2" max="2" width="43.28515625" customWidth="1"/>
    <col min="3" max="3" width="19.85546875" customWidth="1"/>
    <col min="4" max="4" width="12" customWidth="1"/>
    <col min="5" max="5" width="11.5703125" customWidth="1"/>
    <col min="6" max="6" width="33.42578125" customWidth="1"/>
    <col min="7" max="7" width="12.28515625" customWidth="1"/>
    <col min="8" max="8" width="14.5703125" bestFit="1" customWidth="1"/>
    <col min="9" max="9" width="10.7109375" bestFit="1" customWidth="1"/>
    <col min="10" max="10" width="12.140625" bestFit="1" customWidth="1"/>
    <col min="11" max="11" width="14.140625" hidden="1" customWidth="1"/>
    <col min="12" max="13" width="10.140625" hidden="1" customWidth="1"/>
    <col min="14" max="14" width="9.140625" hidden="1" customWidth="1"/>
    <col min="15" max="15" width="10.140625" hidden="1" customWidth="1"/>
    <col min="16" max="16" width="14.85546875" hidden="1" customWidth="1"/>
    <col min="17" max="17" width="9.140625" hidden="1" customWidth="1"/>
    <col min="18" max="18" width="10.140625" hidden="1" customWidth="1"/>
    <col min="19" max="19" width="0" hidden="1" customWidth="1"/>
  </cols>
  <sheetData>
    <row r="1" spans="1:18" ht="15.75" thickBot="1" x14ac:dyDescent="0.3">
      <c r="L1" t="s">
        <v>0</v>
      </c>
      <c r="M1" t="s">
        <v>33</v>
      </c>
      <c r="O1" t="s">
        <v>0</v>
      </c>
      <c r="P1" t="s">
        <v>33</v>
      </c>
      <c r="R1" t="s">
        <v>0</v>
      </c>
    </row>
    <row r="2" spans="1:18" ht="19.5" thickBot="1" x14ac:dyDescent="0.35">
      <c r="A2" s="5"/>
      <c r="B2" s="14" t="s">
        <v>0</v>
      </c>
      <c r="C2" s="15">
        <v>55000</v>
      </c>
      <c r="D2" s="16"/>
      <c r="E2" s="7"/>
      <c r="F2" s="17" t="s">
        <v>61</v>
      </c>
      <c r="G2" s="56"/>
      <c r="H2" s="99" t="s">
        <v>60</v>
      </c>
      <c r="I2" s="99"/>
      <c r="J2" s="18">
        <v>0.26229999999999998</v>
      </c>
      <c r="L2" s="3"/>
      <c r="M2" s="3">
        <f>C27</f>
        <v>12167.727182222221</v>
      </c>
      <c r="P2" s="3">
        <f>H27</f>
        <v>3195.384</v>
      </c>
    </row>
    <row r="3" spans="1:18" ht="18.75" x14ac:dyDescent="0.3">
      <c r="A3" s="5"/>
      <c r="B3" s="14" t="s">
        <v>52</v>
      </c>
      <c r="C3" s="19">
        <v>0.45</v>
      </c>
      <c r="D3" s="14"/>
      <c r="E3" s="7"/>
      <c r="F3" s="17" t="s">
        <v>38</v>
      </c>
      <c r="G3" s="56"/>
      <c r="H3" s="58"/>
      <c r="I3" s="58"/>
      <c r="J3" s="58"/>
      <c r="L3" s="3">
        <v>1000</v>
      </c>
      <c r="M3" s="4"/>
      <c r="O3" s="3">
        <v>1000</v>
      </c>
      <c r="P3">
        <f t="dataTable" ref="P3:P87" dt2D="0" dtr="0" r1="C2"/>
        <v>-14846.5</v>
      </c>
      <c r="R3" s="3">
        <v>1000</v>
      </c>
    </row>
    <row r="4" spans="1:18" ht="18.75" x14ac:dyDescent="0.3">
      <c r="A4" s="5"/>
      <c r="B4" s="14" t="s">
        <v>51</v>
      </c>
      <c r="C4" s="15">
        <v>10000</v>
      </c>
      <c r="D4" s="20">
        <f>+C4/$C$2</f>
        <v>0.18181818181818182</v>
      </c>
      <c r="E4" s="21"/>
      <c r="F4" s="17" t="s">
        <v>45</v>
      </c>
      <c r="G4" s="56"/>
      <c r="H4" s="59">
        <v>2</v>
      </c>
      <c r="I4" s="59" t="b">
        <v>0</v>
      </c>
      <c r="J4" s="22"/>
      <c r="K4" s="3"/>
      <c r="L4" s="3">
        <v>2000</v>
      </c>
      <c r="M4" s="4"/>
      <c r="O4" s="3">
        <v>2000</v>
      </c>
      <c r="P4">
        <v>-14364</v>
      </c>
      <c r="R4" s="3">
        <v>2000</v>
      </c>
    </row>
    <row r="5" spans="1:18" ht="18.75" x14ac:dyDescent="0.3">
      <c r="A5" s="5"/>
      <c r="B5" s="23" t="s">
        <v>53</v>
      </c>
      <c r="C5" s="24">
        <f>+C2*C3+C4</f>
        <v>34750</v>
      </c>
      <c r="D5" s="25">
        <f>+C5/$C$2</f>
        <v>0.63181818181818183</v>
      </c>
      <c r="E5" s="26"/>
      <c r="F5" s="8"/>
      <c r="G5" s="8"/>
      <c r="H5" s="58"/>
      <c r="I5" s="58"/>
      <c r="J5" s="58"/>
      <c r="K5" s="3"/>
      <c r="L5" s="3">
        <v>3000</v>
      </c>
      <c r="M5" s="4"/>
      <c r="O5" s="3">
        <v>3000</v>
      </c>
      <c r="P5">
        <v>-13881.5</v>
      </c>
      <c r="R5" s="3">
        <v>3000</v>
      </c>
    </row>
    <row r="6" spans="1:18" ht="18.75" x14ac:dyDescent="0.3">
      <c r="A6" s="5"/>
      <c r="B6" s="14" t="s">
        <v>33</v>
      </c>
      <c r="C6" s="27">
        <f>+C2-C5</f>
        <v>20250</v>
      </c>
      <c r="D6" s="20">
        <f>+C6/$C$2</f>
        <v>0.36818181818181817</v>
      </c>
      <c r="E6" s="26"/>
      <c r="F6" s="17" t="s">
        <v>41</v>
      </c>
      <c r="G6" s="28">
        <v>0.15</v>
      </c>
      <c r="H6" s="7"/>
      <c r="I6" s="7"/>
      <c r="J6" s="7"/>
      <c r="K6" s="3"/>
      <c r="L6" s="3">
        <v>4000</v>
      </c>
      <c r="M6" s="4"/>
      <c r="O6" s="3">
        <v>4000</v>
      </c>
      <c r="P6">
        <v>-13399</v>
      </c>
      <c r="R6" s="3">
        <v>4000</v>
      </c>
    </row>
    <row r="7" spans="1:18" ht="18.75" x14ac:dyDescent="0.3">
      <c r="A7" s="5"/>
      <c r="B7" s="7"/>
      <c r="C7" s="7"/>
      <c r="D7" s="29"/>
      <c r="E7" s="7"/>
      <c r="F7" s="7"/>
      <c r="G7" s="7"/>
      <c r="H7" s="7"/>
      <c r="I7" s="7"/>
      <c r="J7" s="7"/>
      <c r="K7" s="3"/>
      <c r="L7" s="3">
        <v>5000</v>
      </c>
      <c r="M7" s="4"/>
      <c r="O7" s="3">
        <v>5000</v>
      </c>
      <c r="P7">
        <v>-12916.5</v>
      </c>
      <c r="R7" s="3">
        <v>5000</v>
      </c>
    </row>
    <row r="8" spans="1:18" ht="18.75" x14ac:dyDescent="0.3">
      <c r="A8" s="5"/>
      <c r="B8" s="102" t="s">
        <v>32</v>
      </c>
      <c r="C8" s="102"/>
      <c r="D8" s="30"/>
      <c r="E8" s="30"/>
      <c r="F8" s="103" t="s">
        <v>31</v>
      </c>
      <c r="G8" s="103"/>
      <c r="H8" s="103"/>
      <c r="I8" s="7"/>
      <c r="J8" s="8"/>
      <c r="L8" s="3">
        <v>6000</v>
      </c>
      <c r="M8" s="4"/>
      <c r="O8" s="3">
        <v>6000</v>
      </c>
      <c r="P8">
        <v>-12434</v>
      </c>
      <c r="R8" s="3">
        <v>6000</v>
      </c>
    </row>
    <row r="9" spans="1:18" ht="18.75" x14ac:dyDescent="0.3">
      <c r="A9" s="5"/>
      <c r="B9" s="31" t="s">
        <v>24</v>
      </c>
      <c r="C9" s="32">
        <v>0</v>
      </c>
      <c r="D9" s="7"/>
      <c r="E9" s="7"/>
      <c r="F9" s="33" t="s">
        <v>55</v>
      </c>
      <c r="G9" s="7"/>
      <c r="H9" s="34">
        <v>0.67</v>
      </c>
      <c r="I9" s="7"/>
      <c r="J9" s="8"/>
      <c r="L9" s="3">
        <v>7000</v>
      </c>
      <c r="M9" s="4"/>
      <c r="O9" s="3">
        <v>7000</v>
      </c>
      <c r="P9">
        <v>-11951.5</v>
      </c>
      <c r="R9" s="3">
        <v>7000</v>
      </c>
    </row>
    <row r="10" spans="1:18" ht="18.75" x14ac:dyDescent="0.3">
      <c r="A10" s="5"/>
      <c r="B10" s="31" t="s">
        <v>54</v>
      </c>
      <c r="C10" s="35">
        <f>IFERROR(C6-C24,0)</f>
        <v>15292.8</v>
      </c>
      <c r="D10" s="7"/>
      <c r="E10" s="7"/>
      <c r="F10" s="33" t="s">
        <v>56</v>
      </c>
      <c r="G10" s="7"/>
      <c r="H10" s="35">
        <f>IF(C2&lt;=85000,C2*H9,"ATTENZIONE! FORFETTARIO NON APPLICABILE")</f>
        <v>36850</v>
      </c>
      <c r="I10" s="7"/>
      <c r="J10" s="7"/>
      <c r="K10" s="3"/>
      <c r="L10" s="3">
        <v>8000</v>
      </c>
      <c r="M10" s="4"/>
      <c r="O10" s="3">
        <v>8000</v>
      </c>
      <c r="P10">
        <v>-11469</v>
      </c>
      <c r="R10" s="3">
        <v>8000</v>
      </c>
    </row>
    <row r="11" spans="1:18" ht="18.75" x14ac:dyDescent="0.3">
      <c r="A11" s="5"/>
      <c r="B11" s="31" t="s">
        <v>21</v>
      </c>
      <c r="C11" s="35">
        <f>IF($C$10&gt;0,VLOOKUP($C$10,artcom!$A$42:$C$46,2,1),0)</f>
        <v>3450</v>
      </c>
      <c r="D11" s="7"/>
      <c r="E11" s="7"/>
      <c r="F11" s="31" t="s">
        <v>57</v>
      </c>
      <c r="G11" s="7"/>
      <c r="H11" s="35">
        <f>IFERROR(H10-H24,0)</f>
        <v>27829.119999999999</v>
      </c>
      <c r="I11" s="7"/>
      <c r="J11" s="7"/>
      <c r="K11" s="3"/>
      <c r="L11" s="3">
        <v>9000</v>
      </c>
      <c r="M11" s="4"/>
      <c r="O11" s="3">
        <v>9000</v>
      </c>
      <c r="P11">
        <v>-10986.5</v>
      </c>
      <c r="R11" s="3">
        <v>9000</v>
      </c>
    </row>
    <row r="12" spans="1:18" ht="18.75" x14ac:dyDescent="0.3">
      <c r="A12" s="5"/>
      <c r="B12" s="31" t="s">
        <v>22</v>
      </c>
      <c r="C12" s="36">
        <f>IF($C$10&gt;0,VLOOKUP($C$10,artcom!$A$42:$C$46,3,1),0)</f>
        <v>0.27</v>
      </c>
      <c r="D12" s="7"/>
      <c r="E12" s="7"/>
      <c r="F12" s="31" t="s">
        <v>13</v>
      </c>
      <c r="G12" s="37"/>
      <c r="H12" s="57"/>
      <c r="I12" s="7"/>
      <c r="J12" s="7"/>
      <c r="K12" s="3"/>
      <c r="L12" s="3">
        <v>10000</v>
      </c>
      <c r="M12" s="4"/>
      <c r="O12" s="3">
        <v>10000</v>
      </c>
      <c r="P12">
        <v>-10504</v>
      </c>
      <c r="R12" s="3">
        <v>10000</v>
      </c>
    </row>
    <row r="13" spans="1:18" ht="18.75" x14ac:dyDescent="0.3">
      <c r="A13" s="5"/>
      <c r="B13" s="31" t="s">
        <v>28</v>
      </c>
      <c r="C13" s="35">
        <f>IFERROR($C$10-(VLOOKUP($C$10,artcom!$A$42:$C$46,1,1)),0)</f>
        <v>292.79999999999927</v>
      </c>
      <c r="D13" s="7"/>
      <c r="E13" s="7"/>
      <c r="F13" s="31"/>
      <c r="G13" s="37"/>
      <c r="H13" s="38"/>
      <c r="I13" s="7"/>
      <c r="J13" s="7"/>
      <c r="K13" s="3"/>
      <c r="L13" s="3">
        <v>11000</v>
      </c>
      <c r="M13" s="4"/>
      <c r="O13" s="3">
        <v>11000</v>
      </c>
      <c r="P13">
        <v>-10021.5</v>
      </c>
      <c r="R13" s="3">
        <v>11000</v>
      </c>
    </row>
    <row r="14" spans="1:18" ht="18.75" x14ac:dyDescent="0.3">
      <c r="A14" s="5"/>
      <c r="B14" s="31" t="s">
        <v>23</v>
      </c>
      <c r="C14" s="35">
        <f>C12*C13</f>
        <v>79.055999999999813</v>
      </c>
      <c r="D14" s="7"/>
      <c r="E14" s="7"/>
      <c r="F14" s="31"/>
      <c r="G14" s="37"/>
      <c r="H14" s="38"/>
      <c r="I14" s="7"/>
      <c r="J14" s="7"/>
      <c r="K14" s="3"/>
      <c r="L14" s="3">
        <v>12000</v>
      </c>
      <c r="M14" s="4"/>
      <c r="O14" s="3">
        <v>12000</v>
      </c>
      <c r="P14">
        <v>-9596.2999999999993</v>
      </c>
      <c r="R14" s="3">
        <v>12000</v>
      </c>
    </row>
    <row r="15" spans="1:18" ht="18.75" x14ac:dyDescent="0.3">
      <c r="A15" s="5"/>
      <c r="B15" s="31" t="s">
        <v>29</v>
      </c>
      <c r="C15" s="35">
        <f>IF($C$10&lt;5500,1265,(IF(AND($C$10&lt;28000,$C$10&gt;=5500),(500+(1265-500))*(28000-$C$10)/(28000-5500),IF(AND($C$10&lt;50000,$C$10&gt;=28000),(500*(50000-$C$10))/(50000-28000),0))))</f>
        <v>714.42702222222226</v>
      </c>
      <c r="D15" s="7"/>
      <c r="E15" s="7"/>
      <c r="F15" s="39" t="s">
        <v>37</v>
      </c>
      <c r="G15" s="40"/>
      <c r="H15" s="34">
        <v>0.15</v>
      </c>
      <c r="I15" s="7"/>
      <c r="J15" s="7"/>
      <c r="K15" s="3"/>
      <c r="L15" s="3">
        <v>13000</v>
      </c>
      <c r="M15" s="4"/>
      <c r="O15" s="3">
        <v>13000</v>
      </c>
      <c r="P15">
        <v>-9214.2999999999993</v>
      </c>
      <c r="R15" s="3">
        <v>13000</v>
      </c>
    </row>
    <row r="16" spans="1:18" ht="18.75" x14ac:dyDescent="0.3">
      <c r="A16" s="5"/>
      <c r="B16" s="31" t="s">
        <v>25</v>
      </c>
      <c r="C16" s="32">
        <v>0</v>
      </c>
      <c r="D16" s="7"/>
      <c r="E16" s="7"/>
      <c r="F16" s="31" t="s">
        <v>10</v>
      </c>
      <c r="G16" s="7"/>
      <c r="H16" s="35">
        <f>IFERROR(H11-H24,0)</f>
        <v>18808.239999999998</v>
      </c>
      <c r="I16" s="7"/>
      <c r="J16" s="7"/>
      <c r="K16" s="3"/>
      <c r="L16" s="3">
        <v>14000</v>
      </c>
      <c r="M16" s="4"/>
      <c r="O16" s="3">
        <v>14000</v>
      </c>
      <c r="P16">
        <v>-8832.2999999999993</v>
      </c>
      <c r="R16" s="3">
        <v>14000</v>
      </c>
    </row>
    <row r="17" spans="1:18" ht="18.75" x14ac:dyDescent="0.3">
      <c r="A17" s="5"/>
      <c r="B17" s="41" t="s">
        <v>26</v>
      </c>
      <c r="C17" s="42">
        <f>IF(C11+C14-C15-C16&gt;0,C11+C14-C15-C16,0)</f>
        <v>2814.6289777777774</v>
      </c>
      <c r="D17" s="7"/>
      <c r="E17" s="7"/>
      <c r="F17" s="43" t="s">
        <v>11</v>
      </c>
      <c r="G17" s="44"/>
      <c r="H17" s="45">
        <f>IF(H16*H15&gt;0,H16*H15,0)</f>
        <v>2821.2359999999994</v>
      </c>
      <c r="I17" s="7"/>
      <c r="J17" s="7"/>
      <c r="K17" s="3"/>
      <c r="L17" s="3">
        <v>15000</v>
      </c>
      <c r="M17" s="4"/>
      <c r="O17" s="3">
        <v>15000</v>
      </c>
      <c r="P17">
        <v>-8450.2999999999993</v>
      </c>
      <c r="R17" s="3">
        <v>15000</v>
      </c>
    </row>
    <row r="18" spans="1:18" ht="18.75" x14ac:dyDescent="0.3">
      <c r="A18" s="5"/>
      <c r="B18" s="41" t="s">
        <v>27</v>
      </c>
      <c r="C18" s="42">
        <f>+C10*(1.23%+0.8%)</f>
        <v>310.44383999999997</v>
      </c>
      <c r="D18" s="7"/>
      <c r="E18" s="7"/>
      <c r="F18" s="7"/>
      <c r="G18" s="7"/>
      <c r="H18" s="7"/>
      <c r="I18" s="7"/>
      <c r="J18" s="7"/>
      <c r="K18" s="3"/>
      <c r="L18" s="3">
        <v>16000</v>
      </c>
      <c r="M18" s="4"/>
      <c r="O18" s="3">
        <v>16000</v>
      </c>
      <c r="P18">
        <v>-8068.3</v>
      </c>
      <c r="R18" s="3">
        <v>16000</v>
      </c>
    </row>
    <row r="19" spans="1:18" ht="18.75" x14ac:dyDescent="0.3">
      <c r="A19" s="5"/>
      <c r="B19" s="31" t="s">
        <v>6</v>
      </c>
      <c r="C19" s="46">
        <f>IFERROR(IF($H$4&lt;&gt;3,VLOOKUP($C$6,$A$36:$C$39,1,1),0),0)</f>
        <v>15953</v>
      </c>
      <c r="D19" s="7"/>
      <c r="E19" s="7"/>
      <c r="F19" s="31" t="s">
        <v>6</v>
      </c>
      <c r="G19" s="7"/>
      <c r="H19" s="35">
        <f>IFERROR(IF(H4&lt;&gt;3,IF($H$10&lt;$A$37,$A$37,VLOOKUP($H$10,$A$36:$C$39,1,1)),0),0)</f>
        <v>15953</v>
      </c>
      <c r="I19" s="7"/>
      <c r="J19" s="7"/>
      <c r="K19" s="3"/>
      <c r="L19" s="3">
        <v>17000</v>
      </c>
      <c r="M19" s="4"/>
      <c r="O19" s="3">
        <v>17000</v>
      </c>
      <c r="P19">
        <v>-7686.3</v>
      </c>
      <c r="R19" s="3">
        <v>17000</v>
      </c>
    </row>
    <row r="20" spans="1:18" ht="18.75" x14ac:dyDescent="0.3">
      <c r="A20" s="5"/>
      <c r="B20" s="31" t="s">
        <v>7</v>
      </c>
      <c r="C20" s="35">
        <f>IFERROR(IF(H4&lt;&gt;3,VLOOKUP($C$6,$A$36:$C$39,2,1),0),0)</f>
        <v>3905.2944000000002</v>
      </c>
      <c r="D20" s="7"/>
      <c r="E20" s="7"/>
      <c r="F20" s="31" t="s">
        <v>7</v>
      </c>
      <c r="G20" s="7"/>
      <c r="H20" s="35">
        <f>IFERROR(IF(H4&lt;&gt;3,IF($I$4=FALSE,(VLOOKUP($H$10,$A$36:$C$39,2,1)),(VLOOKUP($H$10,$A$36:$C$39,2,1)*(1-0.35))),0),0)</f>
        <v>3905.2944000000002</v>
      </c>
      <c r="I20" s="7"/>
      <c r="J20" s="7"/>
      <c r="K20" s="3"/>
      <c r="L20" s="3">
        <v>18000</v>
      </c>
      <c r="M20" s="4"/>
      <c r="O20" s="3">
        <v>18000</v>
      </c>
      <c r="P20">
        <v>-7304.3</v>
      </c>
      <c r="R20" s="3">
        <v>18000</v>
      </c>
    </row>
    <row r="21" spans="1:18" ht="18.75" x14ac:dyDescent="0.3">
      <c r="A21" s="5"/>
      <c r="B21" s="31" t="s">
        <v>8</v>
      </c>
      <c r="C21" s="47">
        <f>IFERROR(IF(H4&lt;&gt;3,VLOOKUP($C$6,$A$36:$C$39,3,1),$J$2),0)</f>
        <v>0.24480000000000002</v>
      </c>
      <c r="D21" s="7"/>
      <c r="E21" s="7"/>
      <c r="F21" s="31" t="s">
        <v>8</v>
      </c>
      <c r="G21" s="7"/>
      <c r="H21" s="47">
        <f>IFERROR(IF(H4&lt;&gt;3,IF($I$4=FALSE,(VLOOKUP($H$10,$A$36:$C$39,3,1)),(VLOOKUP($H$10,$A$36:$C$39,3,1)*(1-0.35))),$J$2),0)</f>
        <v>0.24480000000000002</v>
      </c>
      <c r="I21" s="7"/>
      <c r="J21" s="7"/>
      <c r="K21" s="3"/>
      <c r="L21" s="3">
        <v>19000</v>
      </c>
      <c r="M21" s="4"/>
      <c r="O21" s="3">
        <v>19000</v>
      </c>
      <c r="P21">
        <v>-6922.3</v>
      </c>
      <c r="R21" s="3">
        <v>19000</v>
      </c>
    </row>
    <row r="22" spans="1:18" ht="18.75" x14ac:dyDescent="0.3">
      <c r="A22" s="5"/>
      <c r="B22" s="31" t="s">
        <v>5</v>
      </c>
      <c r="C22" s="35">
        <f>IF(H4&lt;&gt;3,IF($C$6&gt;$A$37,$C$6-$C$19,0),0)</f>
        <v>4297</v>
      </c>
      <c r="D22" s="7"/>
      <c r="E22" s="7"/>
      <c r="F22" s="31" t="s">
        <v>5</v>
      </c>
      <c r="G22" s="7"/>
      <c r="H22" s="35">
        <f>IFERROR(IF(H4&lt;&gt;3,IF($H$10&gt;$A$37,$H$10-$H$19,0),0),0)</f>
        <v>20897</v>
      </c>
      <c r="I22" s="7"/>
      <c r="J22" s="7"/>
      <c r="K22" s="3"/>
      <c r="L22" s="3">
        <v>20000</v>
      </c>
      <c r="M22" s="4"/>
      <c r="O22" s="3">
        <v>20000</v>
      </c>
      <c r="P22">
        <v>-6540.3</v>
      </c>
      <c r="R22" s="3">
        <v>20000</v>
      </c>
    </row>
    <row r="23" spans="1:18" ht="18.75" x14ac:dyDescent="0.3">
      <c r="A23" s="5"/>
      <c r="B23" s="21" t="s">
        <v>9</v>
      </c>
      <c r="C23" s="40">
        <f>IF(H4&lt;&gt;3,C22*C21,0)</f>
        <v>1051.9056</v>
      </c>
      <c r="D23" s="7"/>
      <c r="E23" s="7"/>
      <c r="F23" s="21" t="s">
        <v>9</v>
      </c>
      <c r="G23" s="7"/>
      <c r="H23" s="40">
        <f>IFERROR(H22*H21,0)</f>
        <v>5115.5856000000003</v>
      </c>
      <c r="I23" s="7"/>
      <c r="J23" s="7"/>
      <c r="K23" s="3"/>
      <c r="L23" s="3">
        <v>21000</v>
      </c>
      <c r="M23" s="4"/>
      <c r="O23" s="3">
        <v>21000</v>
      </c>
      <c r="P23">
        <v>-6158.3</v>
      </c>
      <c r="R23" s="3">
        <v>21000</v>
      </c>
    </row>
    <row r="24" spans="1:18" ht="18.75" x14ac:dyDescent="0.3">
      <c r="A24" s="5"/>
      <c r="B24" s="41" t="s">
        <v>15</v>
      </c>
      <c r="C24" s="42">
        <f>IF(H4&lt;&gt;3,C20+C23,C6*26.23%)</f>
        <v>4957.2000000000007</v>
      </c>
      <c r="D24" s="7"/>
      <c r="E24" s="7"/>
      <c r="F24" s="43" t="s">
        <v>15</v>
      </c>
      <c r="G24" s="44"/>
      <c r="H24" s="45">
        <f>IFERROR(IF(H4&lt;&gt;3,H20+H23,H10*H21),0)</f>
        <v>9020.880000000001</v>
      </c>
      <c r="I24" s="7"/>
      <c r="J24" s="7"/>
      <c r="K24" s="3"/>
      <c r="L24" s="3">
        <v>22000</v>
      </c>
      <c r="M24" s="4"/>
      <c r="O24" s="3">
        <v>22000</v>
      </c>
      <c r="P24">
        <v>-5776.3</v>
      </c>
      <c r="R24" s="3">
        <v>22000</v>
      </c>
    </row>
    <row r="25" spans="1:18" ht="18.75" x14ac:dyDescent="0.3">
      <c r="A25" s="5"/>
      <c r="B25" s="31"/>
      <c r="C25" s="35"/>
      <c r="D25" s="7"/>
      <c r="E25" s="7"/>
      <c r="F25" s="31"/>
      <c r="G25" s="7"/>
      <c r="H25" s="37"/>
      <c r="I25" s="7"/>
      <c r="J25" s="7"/>
      <c r="K25" s="3"/>
      <c r="L25" s="3">
        <v>23000</v>
      </c>
      <c r="M25" s="4"/>
      <c r="O25" s="3">
        <v>23000</v>
      </c>
      <c r="P25">
        <v>-5394.3</v>
      </c>
      <c r="R25" s="3">
        <v>23000</v>
      </c>
    </row>
    <row r="26" spans="1:18" ht="19.5" thickBot="1" x14ac:dyDescent="0.35">
      <c r="A26" s="5"/>
      <c r="B26" s="48" t="s">
        <v>30</v>
      </c>
      <c r="C26" s="49">
        <f>IF(C17+C18+C24&gt;0,C17+C18+C24,0)</f>
        <v>8082.2728177777781</v>
      </c>
      <c r="D26" s="31"/>
      <c r="E26" s="31"/>
      <c r="F26" s="50" t="s">
        <v>30</v>
      </c>
      <c r="G26" s="51"/>
      <c r="H26" s="51">
        <f>IF(H24+H17&gt;0,H24+H17,0)</f>
        <v>11842.116</v>
      </c>
      <c r="I26" s="7"/>
      <c r="J26" s="7"/>
      <c r="K26" s="3"/>
      <c r="L26" s="3">
        <v>24000</v>
      </c>
      <c r="M26" s="4"/>
      <c r="O26" s="3">
        <v>24000</v>
      </c>
      <c r="P26">
        <v>-5087.4688000000006</v>
      </c>
      <c r="R26" s="3">
        <v>24000</v>
      </c>
    </row>
    <row r="27" spans="1:18" ht="19.5" thickTop="1" x14ac:dyDescent="0.3">
      <c r="A27" s="5"/>
      <c r="B27" s="41" t="s">
        <v>42</v>
      </c>
      <c r="C27" s="42">
        <f>+C6-C26</f>
        <v>12167.727182222221</v>
      </c>
      <c r="D27" s="52"/>
      <c r="E27" s="52"/>
      <c r="F27" s="43" t="s">
        <v>48</v>
      </c>
      <c r="G27" s="44"/>
      <c r="H27" s="45">
        <f>IFERROR(IF(C2&lt;=85000,$C$6-H26-$C$5*(G6),0),0)</f>
        <v>3195.384</v>
      </c>
      <c r="I27" s="53"/>
      <c r="J27" s="7"/>
      <c r="K27" s="3"/>
      <c r="L27" s="3">
        <v>25000</v>
      </c>
      <c r="M27" s="4"/>
      <c r="O27" s="3">
        <v>25000</v>
      </c>
      <c r="P27">
        <v>-4820.28</v>
      </c>
      <c r="R27" s="3">
        <v>25000</v>
      </c>
    </row>
    <row r="28" spans="1:18" ht="18.75" x14ac:dyDescent="0.3">
      <c r="A28" s="5"/>
      <c r="B28" s="31" t="s">
        <v>12</v>
      </c>
      <c r="C28" s="37">
        <f>C27/13</f>
        <v>935.97901401709396</v>
      </c>
      <c r="D28" s="31"/>
      <c r="E28" s="31"/>
      <c r="F28" s="31" t="s">
        <v>12</v>
      </c>
      <c r="G28" s="7"/>
      <c r="H28" s="37">
        <f>H27/13</f>
        <v>245.79876923076924</v>
      </c>
      <c r="I28" s="53"/>
      <c r="J28" s="7"/>
      <c r="K28" s="3"/>
      <c r="L28" s="3">
        <v>26000</v>
      </c>
      <c r="M28" s="4"/>
      <c r="O28" s="3">
        <v>26000</v>
      </c>
      <c r="P28">
        <v>-4553.0911999999998</v>
      </c>
      <c r="R28" s="3">
        <v>26000</v>
      </c>
    </row>
    <row r="29" spans="1:18" ht="18.75" x14ac:dyDescent="0.3">
      <c r="A29" s="5"/>
      <c r="B29" s="31" t="s">
        <v>14</v>
      </c>
      <c r="C29" s="37">
        <f>+C27/12</f>
        <v>1013.977265185185</v>
      </c>
      <c r="D29" s="31"/>
      <c r="E29" s="31"/>
      <c r="F29" s="31" t="s">
        <v>14</v>
      </c>
      <c r="G29" s="7"/>
      <c r="H29" s="37">
        <f>+H27/12</f>
        <v>266.28199999999998</v>
      </c>
      <c r="I29" s="53"/>
      <c r="J29" s="7"/>
      <c r="L29" s="3">
        <v>27000</v>
      </c>
      <c r="M29" s="4"/>
      <c r="O29" s="3">
        <v>27000</v>
      </c>
      <c r="P29">
        <v>-4285.9024000000009</v>
      </c>
      <c r="R29" s="3">
        <v>27000</v>
      </c>
    </row>
    <row r="30" spans="1:18" ht="18.75" x14ac:dyDescent="0.3">
      <c r="A30" s="5"/>
      <c r="B30" s="17" t="s">
        <v>43</v>
      </c>
      <c r="C30" s="32">
        <v>160</v>
      </c>
      <c r="D30" s="54">
        <f>+C29/$C$30</f>
        <v>6.3373579074074069</v>
      </c>
      <c r="E30" s="31"/>
      <c r="F30" s="104" t="s">
        <v>43</v>
      </c>
      <c r="G30" s="104"/>
      <c r="H30" s="32">
        <v>160</v>
      </c>
      <c r="I30" s="55">
        <f>+H29/$H$30</f>
        <v>1.6642625</v>
      </c>
      <c r="J30" s="7"/>
      <c r="L30" s="3">
        <v>28000</v>
      </c>
      <c r="M30" s="4"/>
      <c r="O30" s="3">
        <v>28000</v>
      </c>
      <c r="P30">
        <v>-4018.7136</v>
      </c>
      <c r="R30" s="3">
        <v>28000</v>
      </c>
    </row>
    <row r="31" spans="1:18" ht="18.75" x14ac:dyDescent="0.3">
      <c r="A31" s="5"/>
      <c r="B31" s="17"/>
      <c r="C31" s="17"/>
      <c r="D31" s="17"/>
      <c r="E31" s="17"/>
      <c r="F31" s="17"/>
      <c r="G31" s="17"/>
      <c r="H31" s="17"/>
      <c r="I31" s="17"/>
      <c r="J31" s="7"/>
      <c r="L31" s="3">
        <v>29000</v>
      </c>
      <c r="M31" s="4"/>
      <c r="O31" s="3">
        <v>29000</v>
      </c>
      <c r="P31">
        <v>-3751.5248000000001</v>
      </c>
      <c r="R31" s="3">
        <v>29000</v>
      </c>
    </row>
    <row r="32" spans="1:18" ht="19.5" thickBot="1" x14ac:dyDescent="0.35">
      <c r="A32" s="5"/>
      <c r="B32" s="6" t="s">
        <v>58</v>
      </c>
      <c r="C32" s="6" t="s">
        <v>59</v>
      </c>
      <c r="D32" s="7"/>
      <c r="E32" s="7"/>
      <c r="F32" s="101" t="s">
        <v>58</v>
      </c>
      <c r="G32" s="101"/>
      <c r="H32" s="6" t="s">
        <v>59</v>
      </c>
      <c r="I32" s="7"/>
      <c r="J32" s="7"/>
      <c r="L32" s="3">
        <v>30000</v>
      </c>
      <c r="M32" s="4"/>
      <c r="O32" s="3">
        <v>30000</v>
      </c>
      <c r="P32">
        <v>-3484.3360000000002</v>
      </c>
      <c r="R32" s="3">
        <v>30000</v>
      </c>
    </row>
    <row r="33" spans="1:18" ht="19.5" thickTop="1" x14ac:dyDescent="0.3">
      <c r="B33" s="96">
        <v>66000</v>
      </c>
      <c r="C33" s="97" t="e">
        <f>VLOOKUP($B$33,$M$3:$O$87,3,TRUE)</f>
        <v>#N/A</v>
      </c>
      <c r="D33" s="8"/>
      <c r="E33" s="8"/>
      <c r="F33" s="100">
        <v>66000</v>
      </c>
      <c r="G33" s="100"/>
      <c r="H33" s="98">
        <f>VLOOKUP($F$33,$P$3:$R$87,3,TRUE)</f>
        <v>85000</v>
      </c>
      <c r="I33" s="8"/>
      <c r="J33" s="8"/>
      <c r="L33" s="3">
        <v>31000</v>
      </c>
      <c r="M33" s="4"/>
      <c r="O33" s="3">
        <v>31000</v>
      </c>
      <c r="P33">
        <v>-3217.1472000000003</v>
      </c>
      <c r="R33" s="3">
        <v>31000</v>
      </c>
    </row>
    <row r="34" spans="1:18" x14ac:dyDescent="0.25">
      <c r="L34" s="3">
        <v>32000</v>
      </c>
      <c r="M34" s="4"/>
      <c r="O34" s="3">
        <v>32000</v>
      </c>
      <c r="P34">
        <v>-2949.9584000000004</v>
      </c>
      <c r="R34" s="3">
        <v>32000</v>
      </c>
    </row>
    <row r="35" spans="1:18" x14ac:dyDescent="0.25">
      <c r="A35" s="9" t="s">
        <v>1</v>
      </c>
      <c r="B35" s="10" t="s">
        <v>3</v>
      </c>
      <c r="C35" s="11" t="s">
        <v>4</v>
      </c>
      <c r="L35" s="3">
        <v>33000</v>
      </c>
      <c r="M35" s="4"/>
      <c r="O35" s="3">
        <v>33000</v>
      </c>
      <c r="P35">
        <v>-2682.7696000000005</v>
      </c>
      <c r="R35" s="3">
        <v>33000</v>
      </c>
    </row>
    <row r="36" spans="1:18" x14ac:dyDescent="0.25">
      <c r="A36" s="60">
        <v>0</v>
      </c>
      <c r="B36" s="61">
        <v>3829</v>
      </c>
      <c r="C36" s="62">
        <f>+IF($H$4=2,24.48%,24%)</f>
        <v>0.24480000000000002</v>
      </c>
      <c r="L36" s="3">
        <v>34000</v>
      </c>
      <c r="M36" s="4"/>
      <c r="O36" s="3">
        <v>34000</v>
      </c>
      <c r="P36">
        <v>-2415.5807999999997</v>
      </c>
      <c r="R36" s="3">
        <v>34000</v>
      </c>
    </row>
    <row r="37" spans="1:18" x14ac:dyDescent="0.25">
      <c r="A37" s="60">
        <v>15953</v>
      </c>
      <c r="B37" s="61">
        <f>A37*C37</f>
        <v>3905.2944000000002</v>
      </c>
      <c r="C37" s="63">
        <f t="shared" ref="C37:C39" si="0">+IF($H$4=2,24.48%,24%)</f>
        <v>0.24480000000000002</v>
      </c>
      <c r="L37" s="3">
        <v>35000</v>
      </c>
      <c r="M37" s="4"/>
      <c r="O37" s="3">
        <v>35000</v>
      </c>
      <c r="P37">
        <v>-2148.3919999999998</v>
      </c>
      <c r="R37" s="3">
        <v>35000</v>
      </c>
    </row>
    <row r="38" spans="1:18" x14ac:dyDescent="0.25">
      <c r="A38" s="60">
        <v>47379</v>
      </c>
      <c r="B38" s="61">
        <f>(A38-A37)*C38+B37</f>
        <v>11598.379200000001</v>
      </c>
      <c r="C38" s="63">
        <f t="shared" si="0"/>
        <v>0.24480000000000002</v>
      </c>
      <c r="L38" s="3">
        <v>36000</v>
      </c>
      <c r="M38" s="4"/>
      <c r="O38" s="3">
        <v>36000</v>
      </c>
      <c r="P38">
        <v>-1881.2032000000008</v>
      </c>
      <c r="R38" s="3">
        <v>36000</v>
      </c>
    </row>
    <row r="39" spans="1:18" x14ac:dyDescent="0.25">
      <c r="A39" s="64">
        <v>103055</v>
      </c>
      <c r="B39" s="65">
        <f>(A39-A38)*C39+B38</f>
        <v>25227.864000000001</v>
      </c>
      <c r="C39" s="66">
        <f t="shared" si="0"/>
        <v>0.24480000000000002</v>
      </c>
      <c r="L39" s="3">
        <v>37000</v>
      </c>
      <c r="M39" s="4"/>
      <c r="O39" s="3">
        <v>37000</v>
      </c>
      <c r="P39">
        <v>-1614.0144</v>
      </c>
      <c r="R39" s="3">
        <v>37000</v>
      </c>
    </row>
    <row r="40" spans="1:18" x14ac:dyDescent="0.25">
      <c r="A40" s="2"/>
      <c r="B40" s="2"/>
      <c r="C40" s="1"/>
      <c r="L40" s="3">
        <v>38000</v>
      </c>
      <c r="M40" s="4"/>
      <c r="O40" s="3">
        <v>38000</v>
      </c>
      <c r="P40">
        <v>-1346.8256000000001</v>
      </c>
      <c r="R40" s="3">
        <v>38000</v>
      </c>
    </row>
    <row r="41" spans="1:18" x14ac:dyDescent="0.25">
      <c r="A41" s="2"/>
      <c r="B41" s="2"/>
      <c r="C41" s="1"/>
      <c r="L41" s="3">
        <v>39000</v>
      </c>
      <c r="M41" s="4"/>
      <c r="O41" s="3">
        <v>39000</v>
      </c>
      <c r="P41">
        <v>-1079.6368000000002</v>
      </c>
      <c r="R41" s="3">
        <v>39000</v>
      </c>
    </row>
    <row r="42" spans="1:18" x14ac:dyDescent="0.25">
      <c r="A42" s="9" t="s">
        <v>16</v>
      </c>
      <c r="B42" s="10" t="s">
        <v>17</v>
      </c>
      <c r="C42" s="11" t="s">
        <v>4</v>
      </c>
      <c r="L42" s="3">
        <v>40000</v>
      </c>
      <c r="M42" s="4"/>
      <c r="O42" s="3">
        <v>40000</v>
      </c>
      <c r="P42">
        <v>-812.44800000000032</v>
      </c>
      <c r="R42" s="3">
        <v>40000</v>
      </c>
    </row>
    <row r="43" spans="1:18" x14ac:dyDescent="0.25">
      <c r="A43" s="67">
        <v>1</v>
      </c>
      <c r="B43" s="12">
        <v>0</v>
      </c>
      <c r="C43" s="68">
        <v>0.23</v>
      </c>
      <c r="L43" s="3">
        <v>41000</v>
      </c>
      <c r="M43" s="4"/>
      <c r="O43" s="3">
        <v>41000</v>
      </c>
      <c r="P43">
        <v>-545.25920000000042</v>
      </c>
      <c r="R43" s="3">
        <v>41000</v>
      </c>
    </row>
    <row r="44" spans="1:18" x14ac:dyDescent="0.25">
      <c r="A44" s="60">
        <v>15000</v>
      </c>
      <c r="B44" s="61">
        <f>A44*C43</f>
        <v>3450</v>
      </c>
      <c r="C44" s="68">
        <v>0.27</v>
      </c>
      <c r="L44" s="3">
        <v>42000</v>
      </c>
      <c r="M44" s="4"/>
      <c r="O44" s="3">
        <v>42000</v>
      </c>
      <c r="P44">
        <v>-278.07040000000052</v>
      </c>
      <c r="R44" s="3">
        <v>42000</v>
      </c>
    </row>
    <row r="45" spans="1:18" x14ac:dyDescent="0.25">
      <c r="A45" s="60">
        <v>28000</v>
      </c>
      <c r="B45" s="61">
        <f>(A45-A44)*C44+B44</f>
        <v>6960</v>
      </c>
      <c r="C45" s="68">
        <v>0.38</v>
      </c>
      <c r="L45" s="3">
        <v>43000</v>
      </c>
      <c r="M45" s="4"/>
      <c r="O45" s="3">
        <v>43000</v>
      </c>
      <c r="P45">
        <v>-10.881600000000617</v>
      </c>
      <c r="R45" s="3">
        <v>43000</v>
      </c>
    </row>
    <row r="46" spans="1:18" x14ac:dyDescent="0.25">
      <c r="A46" s="64">
        <v>55000</v>
      </c>
      <c r="B46" s="65">
        <f t="shared" ref="B46" si="1">(A46-A45)*C45+B45</f>
        <v>17220</v>
      </c>
      <c r="C46" s="69">
        <v>0.43</v>
      </c>
      <c r="L46" s="3">
        <v>44000</v>
      </c>
      <c r="M46" s="4"/>
      <c r="O46" s="3">
        <v>44000</v>
      </c>
      <c r="P46">
        <v>256.30719999999928</v>
      </c>
      <c r="R46" s="3">
        <v>44000</v>
      </c>
    </row>
    <row r="47" spans="1:18" x14ac:dyDescent="0.25">
      <c r="L47" s="3">
        <v>45000</v>
      </c>
      <c r="M47" s="4"/>
      <c r="O47" s="3">
        <v>45000</v>
      </c>
      <c r="P47">
        <v>523.49599999999919</v>
      </c>
      <c r="R47" s="3">
        <v>45000</v>
      </c>
    </row>
    <row r="48" spans="1:18" x14ac:dyDescent="0.25">
      <c r="L48" s="3">
        <v>46000</v>
      </c>
      <c r="M48" s="4"/>
      <c r="O48" s="3">
        <v>46000</v>
      </c>
      <c r="P48">
        <v>790.68479999999909</v>
      </c>
      <c r="R48" s="3">
        <v>46000</v>
      </c>
    </row>
    <row r="49" spans="1:18" x14ac:dyDescent="0.25">
      <c r="A49" s="9" t="s">
        <v>40</v>
      </c>
      <c r="B49" s="11" t="s">
        <v>39</v>
      </c>
      <c r="L49" s="3">
        <v>47000</v>
      </c>
      <c r="M49" s="4"/>
      <c r="O49" s="3">
        <v>47000</v>
      </c>
      <c r="P49">
        <v>1057.873599999999</v>
      </c>
      <c r="R49" s="3">
        <v>47000</v>
      </c>
    </row>
    <row r="50" spans="1:18" x14ac:dyDescent="0.25">
      <c r="A50" s="60">
        <v>5500</v>
      </c>
      <c r="B50" s="70">
        <v>1265</v>
      </c>
      <c r="L50" s="3">
        <v>48000</v>
      </c>
      <c r="M50" s="4"/>
      <c r="O50" s="3">
        <v>48000</v>
      </c>
      <c r="P50">
        <v>1325.0623999999989</v>
      </c>
      <c r="R50" s="3">
        <v>48000</v>
      </c>
    </row>
    <row r="51" spans="1:18" x14ac:dyDescent="0.25">
      <c r="A51" s="60">
        <v>28000</v>
      </c>
      <c r="B51" s="71" t="s">
        <v>18</v>
      </c>
      <c r="L51" s="3">
        <v>49000</v>
      </c>
      <c r="M51" s="4"/>
      <c r="O51" s="3">
        <v>49000</v>
      </c>
      <c r="P51">
        <v>1592.2512000000006</v>
      </c>
      <c r="R51" s="3">
        <v>49000</v>
      </c>
    </row>
    <row r="52" spans="1:18" x14ac:dyDescent="0.25">
      <c r="A52" s="60">
        <v>50000</v>
      </c>
      <c r="B52" s="71" t="s">
        <v>19</v>
      </c>
      <c r="L52" s="3">
        <v>50000</v>
      </c>
      <c r="M52" s="4"/>
      <c r="O52" s="3">
        <v>50000</v>
      </c>
      <c r="P52">
        <v>1859.4400000000005</v>
      </c>
      <c r="R52" s="3">
        <v>50000</v>
      </c>
    </row>
    <row r="53" spans="1:18" x14ac:dyDescent="0.25">
      <c r="A53" s="72" t="s">
        <v>20</v>
      </c>
      <c r="B53" s="73">
        <v>0</v>
      </c>
      <c r="L53" s="3">
        <v>51000</v>
      </c>
      <c r="M53" s="4"/>
      <c r="O53" s="3">
        <v>51000</v>
      </c>
      <c r="P53">
        <v>2126.6287999999986</v>
      </c>
      <c r="R53" s="3">
        <v>51000</v>
      </c>
    </row>
    <row r="54" spans="1:18" x14ac:dyDescent="0.25">
      <c r="L54" s="3">
        <v>52000</v>
      </c>
      <c r="M54" s="4"/>
      <c r="O54" s="3">
        <v>52000</v>
      </c>
      <c r="P54">
        <v>2393.8176000000003</v>
      </c>
      <c r="R54" s="3">
        <v>52000</v>
      </c>
    </row>
    <row r="55" spans="1:18" x14ac:dyDescent="0.25">
      <c r="A55" s="74" t="s">
        <v>2</v>
      </c>
      <c r="B55" s="75" t="s">
        <v>36</v>
      </c>
      <c r="C55" s="75" t="s">
        <v>35</v>
      </c>
      <c r="D55" s="75" t="s">
        <v>47</v>
      </c>
      <c r="E55" s="75" t="s">
        <v>46</v>
      </c>
      <c r="F55" s="76" t="s">
        <v>49</v>
      </c>
      <c r="G55" s="77" t="s">
        <v>50</v>
      </c>
      <c r="L55" s="3">
        <v>53000</v>
      </c>
      <c r="M55" s="4"/>
      <c r="O55" s="3">
        <v>53000</v>
      </c>
      <c r="P55">
        <v>2661.0064000000002</v>
      </c>
      <c r="R55" s="3">
        <v>53000</v>
      </c>
    </row>
    <row r="56" spans="1:18" x14ac:dyDescent="0.25">
      <c r="A56" s="78" t="s">
        <v>31</v>
      </c>
      <c r="B56" s="79">
        <f>+H27</f>
        <v>3195.384</v>
      </c>
      <c r="C56" s="80">
        <f>+H26</f>
        <v>11842.116</v>
      </c>
      <c r="D56" s="81">
        <f>+artcom!$C56/$C$2</f>
        <v>0.21531120000000001</v>
      </c>
      <c r="E56" s="82">
        <f>1-artcom!$D56</f>
        <v>0.78468879999999996</v>
      </c>
      <c r="F56" s="81">
        <f>IF(artcom!$B56/$C$2&gt;0,artcom!$B56/$C$2,0)</f>
        <v>5.8097890909090906E-2</v>
      </c>
      <c r="G56" s="83">
        <f>1-artcom!$F56</f>
        <v>0.9419021090909091</v>
      </c>
      <c r="L56" s="3">
        <v>54000</v>
      </c>
      <c r="M56" s="4"/>
      <c r="O56" s="3">
        <v>54000</v>
      </c>
      <c r="P56">
        <v>2928.1951999999983</v>
      </c>
      <c r="R56" s="3">
        <v>54000</v>
      </c>
    </row>
    <row r="57" spans="1:18" x14ac:dyDescent="0.25">
      <c r="A57" s="84" t="s">
        <v>34</v>
      </c>
      <c r="B57" s="85">
        <f>+C27</f>
        <v>12167.727182222221</v>
      </c>
      <c r="C57" s="86">
        <f>+C26</f>
        <v>8082.2728177777781</v>
      </c>
      <c r="D57" s="87">
        <f>+artcom!$C57/$C$2</f>
        <v>0.14695041486868687</v>
      </c>
      <c r="E57" s="88">
        <f>1-artcom!$D57</f>
        <v>0.85304958513131313</v>
      </c>
      <c r="F57" s="87">
        <f>IF(artcom!$B57/$C$2&gt;0,artcom!$B57/$C$2,0)</f>
        <v>0.22123140331313129</v>
      </c>
      <c r="G57" s="89">
        <f>1-artcom!$F57</f>
        <v>0.77876859668686871</v>
      </c>
      <c r="L57" s="3">
        <v>55000</v>
      </c>
      <c r="M57" s="4"/>
      <c r="O57" s="3">
        <v>55000</v>
      </c>
      <c r="P57">
        <v>3195.384</v>
      </c>
      <c r="R57" s="3">
        <v>55000</v>
      </c>
    </row>
    <row r="58" spans="1:18" x14ac:dyDescent="0.25">
      <c r="A58" s="13" t="s">
        <v>44</v>
      </c>
      <c r="B58" s="90">
        <f>B56-B57</f>
        <v>-8972.343182222221</v>
      </c>
      <c r="C58" s="91">
        <f>+C56-C57</f>
        <v>3759.8431822222219</v>
      </c>
      <c r="D58" s="92"/>
      <c r="E58" s="93"/>
      <c r="F58" s="94"/>
      <c r="G58" s="95"/>
      <c r="L58" s="3">
        <v>56000</v>
      </c>
      <c r="M58" s="4"/>
      <c r="O58" s="3">
        <v>56000</v>
      </c>
      <c r="P58">
        <v>3462.5727999999999</v>
      </c>
      <c r="R58" s="3">
        <v>56000</v>
      </c>
    </row>
    <row r="59" spans="1:18" x14ac:dyDescent="0.25">
      <c r="L59" s="3">
        <v>57000</v>
      </c>
      <c r="M59" s="4"/>
      <c r="O59" s="3">
        <v>57000</v>
      </c>
      <c r="P59">
        <v>3729.7615999999998</v>
      </c>
      <c r="R59" s="3">
        <v>57000</v>
      </c>
    </row>
    <row r="60" spans="1:18" x14ac:dyDescent="0.25">
      <c r="L60" s="3">
        <v>58000</v>
      </c>
      <c r="M60" s="4"/>
      <c r="O60" s="3">
        <v>58000</v>
      </c>
      <c r="P60">
        <v>3996.9503999999997</v>
      </c>
      <c r="R60" s="3">
        <v>58000</v>
      </c>
    </row>
    <row r="61" spans="1:18" x14ac:dyDescent="0.25">
      <c r="L61" s="3">
        <v>59000</v>
      </c>
      <c r="M61" s="4"/>
      <c r="O61" s="3">
        <v>59000</v>
      </c>
      <c r="P61">
        <v>4264.1391999999996</v>
      </c>
      <c r="R61" s="3">
        <v>59000</v>
      </c>
    </row>
    <row r="62" spans="1:18" x14ac:dyDescent="0.25">
      <c r="L62" s="3">
        <v>60000</v>
      </c>
      <c r="M62" s="4"/>
      <c r="O62" s="3">
        <v>60000</v>
      </c>
      <c r="P62">
        <v>4531.3279999999995</v>
      </c>
      <c r="R62" s="3">
        <v>60000</v>
      </c>
    </row>
    <row r="63" spans="1:18" x14ac:dyDescent="0.25">
      <c r="L63" s="3">
        <v>61000</v>
      </c>
      <c r="M63" s="4"/>
      <c r="O63" s="3">
        <v>61000</v>
      </c>
      <c r="P63">
        <v>4798.5168000000012</v>
      </c>
      <c r="R63" s="3">
        <v>61000</v>
      </c>
    </row>
    <row r="64" spans="1:18" x14ac:dyDescent="0.25">
      <c r="L64" s="3">
        <v>62000</v>
      </c>
      <c r="M64" s="4"/>
      <c r="O64" s="3">
        <v>62000</v>
      </c>
      <c r="P64">
        <v>5065.7055999999993</v>
      </c>
      <c r="R64" s="3">
        <v>62000</v>
      </c>
    </row>
    <row r="65" spans="12:18" x14ac:dyDescent="0.25">
      <c r="L65" s="3">
        <v>63000</v>
      </c>
      <c r="M65" s="4"/>
      <c r="O65" s="3">
        <v>63000</v>
      </c>
      <c r="P65">
        <v>5332.894400000001</v>
      </c>
      <c r="R65" s="3">
        <v>63000</v>
      </c>
    </row>
    <row r="66" spans="12:18" x14ac:dyDescent="0.25">
      <c r="L66" s="3">
        <v>64000</v>
      </c>
      <c r="M66" s="4"/>
      <c r="O66" s="3">
        <v>64000</v>
      </c>
      <c r="P66">
        <v>5600.0831999999991</v>
      </c>
      <c r="R66" s="3">
        <v>64000</v>
      </c>
    </row>
    <row r="67" spans="12:18" x14ac:dyDescent="0.25">
      <c r="L67" s="3">
        <v>65000</v>
      </c>
      <c r="M67" s="4"/>
      <c r="O67" s="3">
        <v>65000</v>
      </c>
      <c r="P67">
        <v>5867.271999999999</v>
      </c>
      <c r="R67" s="3">
        <v>65000</v>
      </c>
    </row>
    <row r="68" spans="12:18" x14ac:dyDescent="0.25">
      <c r="L68" s="3">
        <v>66000</v>
      </c>
      <c r="M68" s="4"/>
      <c r="O68" s="3">
        <v>66000</v>
      </c>
      <c r="P68">
        <v>6134.4607999999989</v>
      </c>
      <c r="R68" s="3">
        <v>66000</v>
      </c>
    </row>
    <row r="69" spans="12:18" x14ac:dyDescent="0.25">
      <c r="L69" s="3">
        <v>67000</v>
      </c>
      <c r="M69" s="4"/>
      <c r="O69" s="3">
        <v>67000</v>
      </c>
      <c r="P69">
        <v>6401.6496000000006</v>
      </c>
      <c r="R69" s="3">
        <v>67000</v>
      </c>
    </row>
    <row r="70" spans="12:18" x14ac:dyDescent="0.25">
      <c r="L70" s="3">
        <v>68000</v>
      </c>
      <c r="M70" s="4"/>
      <c r="O70" s="3">
        <v>68000</v>
      </c>
      <c r="P70">
        <v>6668.8384000000005</v>
      </c>
      <c r="R70" s="3">
        <v>68000</v>
      </c>
    </row>
    <row r="71" spans="12:18" x14ac:dyDescent="0.25">
      <c r="L71" s="3">
        <v>69000</v>
      </c>
      <c r="M71" s="4"/>
      <c r="O71" s="3">
        <v>69000</v>
      </c>
      <c r="P71">
        <v>6936.0271999999986</v>
      </c>
      <c r="R71" s="3">
        <v>69000</v>
      </c>
    </row>
    <row r="72" spans="12:18" x14ac:dyDescent="0.25">
      <c r="L72" s="3">
        <v>70000</v>
      </c>
      <c r="M72" s="4"/>
      <c r="O72" s="3">
        <v>70000</v>
      </c>
      <c r="P72">
        <v>7203.2160000000003</v>
      </c>
      <c r="R72" s="3">
        <v>70000</v>
      </c>
    </row>
    <row r="73" spans="12:18" x14ac:dyDescent="0.25">
      <c r="L73" s="3">
        <v>71000</v>
      </c>
      <c r="M73" s="4"/>
      <c r="O73" s="3">
        <v>71000</v>
      </c>
      <c r="P73">
        <v>7470.4048000000003</v>
      </c>
      <c r="R73" s="3">
        <v>71000</v>
      </c>
    </row>
    <row r="74" spans="12:18" x14ac:dyDescent="0.25">
      <c r="L74" s="3">
        <v>72000</v>
      </c>
      <c r="M74" s="4"/>
      <c r="O74" s="3">
        <v>72000</v>
      </c>
      <c r="P74">
        <v>7737.5935999999983</v>
      </c>
      <c r="R74" s="3">
        <v>72000</v>
      </c>
    </row>
    <row r="75" spans="12:18" x14ac:dyDescent="0.25">
      <c r="L75" s="3">
        <v>73000</v>
      </c>
      <c r="M75" s="4"/>
      <c r="O75" s="3">
        <v>73000</v>
      </c>
      <c r="P75">
        <v>8004.7824000000001</v>
      </c>
      <c r="R75" s="3">
        <v>73000</v>
      </c>
    </row>
    <row r="76" spans="12:18" x14ac:dyDescent="0.25">
      <c r="L76" s="3">
        <v>74000</v>
      </c>
      <c r="M76" s="4"/>
      <c r="O76" s="3">
        <v>74000</v>
      </c>
      <c r="P76">
        <v>8271.9712</v>
      </c>
      <c r="R76" s="3">
        <v>74000</v>
      </c>
    </row>
    <row r="77" spans="12:18" x14ac:dyDescent="0.25">
      <c r="L77" s="3">
        <v>75000</v>
      </c>
      <c r="M77" s="4"/>
      <c r="O77" s="3">
        <v>75000</v>
      </c>
      <c r="P77">
        <v>8539.16</v>
      </c>
      <c r="R77" s="3">
        <v>75000</v>
      </c>
    </row>
    <row r="78" spans="12:18" x14ac:dyDescent="0.25">
      <c r="L78" s="3">
        <v>76000</v>
      </c>
      <c r="M78" s="4"/>
      <c r="O78" s="3">
        <v>76000</v>
      </c>
      <c r="P78">
        <v>8806.3487999999998</v>
      </c>
      <c r="R78" s="3">
        <v>76000</v>
      </c>
    </row>
    <row r="79" spans="12:18" x14ac:dyDescent="0.25">
      <c r="L79" s="3">
        <v>77000</v>
      </c>
      <c r="M79" s="4"/>
      <c r="O79" s="3">
        <v>77000</v>
      </c>
      <c r="P79">
        <v>9073.5375999999997</v>
      </c>
      <c r="R79" s="3">
        <v>77000</v>
      </c>
    </row>
    <row r="80" spans="12:18" x14ac:dyDescent="0.25">
      <c r="L80" s="3">
        <v>78000</v>
      </c>
      <c r="M80" s="4"/>
      <c r="O80" s="3">
        <v>78000</v>
      </c>
      <c r="P80">
        <v>9340.7263999999996</v>
      </c>
      <c r="R80" s="3">
        <v>78000</v>
      </c>
    </row>
    <row r="81" spans="12:18" x14ac:dyDescent="0.25">
      <c r="L81" s="3">
        <v>79000</v>
      </c>
      <c r="M81" s="4"/>
      <c r="O81" s="3">
        <v>79000</v>
      </c>
      <c r="P81">
        <v>9607.9151999999995</v>
      </c>
      <c r="R81" s="3">
        <v>79000</v>
      </c>
    </row>
    <row r="82" spans="12:18" x14ac:dyDescent="0.25">
      <c r="L82" s="3">
        <v>80000</v>
      </c>
      <c r="M82" s="4"/>
      <c r="O82" s="3">
        <v>80000</v>
      </c>
      <c r="P82">
        <v>9875.1039999999994</v>
      </c>
      <c r="R82" s="3">
        <v>80000</v>
      </c>
    </row>
    <row r="83" spans="12:18" x14ac:dyDescent="0.25">
      <c r="L83" s="3">
        <v>81000</v>
      </c>
      <c r="M83" s="4"/>
      <c r="O83" s="3">
        <v>81000</v>
      </c>
      <c r="P83">
        <v>10142.292799999999</v>
      </c>
      <c r="R83" s="3">
        <v>81000</v>
      </c>
    </row>
    <row r="84" spans="12:18" x14ac:dyDescent="0.25">
      <c r="L84" s="3">
        <v>82000</v>
      </c>
      <c r="M84" s="4"/>
      <c r="O84" s="3">
        <v>82000</v>
      </c>
      <c r="P84">
        <v>10409.481599999999</v>
      </c>
      <c r="R84" s="3">
        <v>82000</v>
      </c>
    </row>
    <row r="85" spans="12:18" x14ac:dyDescent="0.25">
      <c r="L85" s="3">
        <v>83000</v>
      </c>
      <c r="M85" s="4"/>
      <c r="O85" s="3">
        <v>83000</v>
      </c>
      <c r="P85">
        <v>10676.670399999999</v>
      </c>
      <c r="R85" s="3">
        <v>83000</v>
      </c>
    </row>
    <row r="86" spans="12:18" x14ac:dyDescent="0.25">
      <c r="L86" s="3">
        <v>84000</v>
      </c>
      <c r="M86" s="4"/>
      <c r="O86" s="3">
        <v>84000</v>
      </c>
      <c r="P86">
        <v>10943.859199999999</v>
      </c>
      <c r="R86" s="3">
        <v>84000</v>
      </c>
    </row>
    <row r="87" spans="12:18" x14ac:dyDescent="0.25">
      <c r="L87" s="3">
        <v>85000</v>
      </c>
      <c r="M87" s="4"/>
      <c r="O87" s="3">
        <v>85000</v>
      </c>
      <c r="P87">
        <v>11211.047999999999</v>
      </c>
      <c r="R87" s="3">
        <v>85000</v>
      </c>
    </row>
    <row r="88" spans="12:18" x14ac:dyDescent="0.25">
      <c r="L88" s="3">
        <v>86000</v>
      </c>
      <c r="O88" s="3">
        <v>86000</v>
      </c>
      <c r="R88" s="3">
        <v>86000</v>
      </c>
    </row>
    <row r="89" spans="12:18" x14ac:dyDescent="0.25">
      <c r="L89" s="3">
        <v>87000</v>
      </c>
      <c r="O89" s="3">
        <v>87000</v>
      </c>
      <c r="R89" s="3">
        <v>87000</v>
      </c>
    </row>
    <row r="90" spans="12:18" x14ac:dyDescent="0.25">
      <c r="L90" s="3">
        <v>88000</v>
      </c>
      <c r="O90" s="3">
        <v>88000</v>
      </c>
      <c r="R90" s="3">
        <v>88000</v>
      </c>
    </row>
    <row r="91" spans="12:18" x14ac:dyDescent="0.25">
      <c r="L91" s="3">
        <v>89000</v>
      </c>
      <c r="O91" s="3">
        <v>89000</v>
      </c>
      <c r="R91" s="3">
        <v>89000</v>
      </c>
    </row>
    <row r="92" spans="12:18" x14ac:dyDescent="0.25">
      <c r="L92" s="3">
        <v>90000</v>
      </c>
      <c r="O92" s="3">
        <v>90000</v>
      </c>
      <c r="R92" s="3">
        <v>90000</v>
      </c>
    </row>
    <row r="93" spans="12:18" x14ac:dyDescent="0.25">
      <c r="L93" s="3">
        <v>91000</v>
      </c>
      <c r="O93" s="3">
        <v>91000</v>
      </c>
      <c r="R93" s="3">
        <v>91000</v>
      </c>
    </row>
    <row r="94" spans="12:18" x14ac:dyDescent="0.25">
      <c r="L94" s="3">
        <v>92000</v>
      </c>
      <c r="O94" s="3">
        <v>92000</v>
      </c>
      <c r="R94" s="3">
        <v>92000</v>
      </c>
    </row>
    <row r="95" spans="12:18" x14ac:dyDescent="0.25">
      <c r="L95" s="3">
        <v>93000</v>
      </c>
      <c r="O95" s="3">
        <v>93000</v>
      </c>
      <c r="R95" s="3">
        <v>93000</v>
      </c>
    </row>
    <row r="96" spans="12:18" x14ac:dyDescent="0.25">
      <c r="L96" s="3">
        <v>94000</v>
      </c>
      <c r="O96" s="3">
        <v>94000</v>
      </c>
      <c r="R96" s="3">
        <v>94000</v>
      </c>
    </row>
    <row r="97" spans="12:18" x14ac:dyDescent="0.25">
      <c r="L97" s="3">
        <v>95000</v>
      </c>
      <c r="O97" s="3">
        <v>95000</v>
      </c>
      <c r="R97" s="3">
        <v>95000</v>
      </c>
    </row>
    <row r="98" spans="12:18" x14ac:dyDescent="0.25">
      <c r="L98" s="3">
        <v>96000</v>
      </c>
      <c r="O98" s="3">
        <v>96000</v>
      </c>
      <c r="R98" s="3">
        <v>96000</v>
      </c>
    </row>
    <row r="99" spans="12:18" x14ac:dyDescent="0.25">
      <c r="L99" s="3">
        <v>97000</v>
      </c>
      <c r="O99" s="3">
        <v>97000</v>
      </c>
      <c r="R99" s="3">
        <v>97000</v>
      </c>
    </row>
    <row r="100" spans="12:18" x14ac:dyDescent="0.25">
      <c r="L100" s="3">
        <v>98000</v>
      </c>
      <c r="O100" s="3">
        <v>98000</v>
      </c>
      <c r="R100" s="3">
        <v>98000</v>
      </c>
    </row>
    <row r="101" spans="12:18" x14ac:dyDescent="0.25">
      <c r="L101" s="3">
        <v>99000</v>
      </c>
      <c r="O101" s="3">
        <v>99000</v>
      </c>
      <c r="R101" s="3">
        <v>99000</v>
      </c>
    </row>
    <row r="102" spans="12:18" x14ac:dyDescent="0.25">
      <c r="L102" s="3">
        <v>100000</v>
      </c>
      <c r="O102" s="3">
        <v>100000</v>
      </c>
      <c r="R102" s="3">
        <v>100000</v>
      </c>
    </row>
    <row r="103" spans="12:18" x14ac:dyDescent="0.25">
      <c r="L103" s="3">
        <v>101000</v>
      </c>
      <c r="O103" s="3">
        <v>101000</v>
      </c>
      <c r="R103" s="3">
        <v>101000</v>
      </c>
    </row>
    <row r="104" spans="12:18" x14ac:dyDescent="0.25">
      <c r="L104" s="3">
        <v>102000</v>
      </c>
      <c r="O104" s="3">
        <v>102000</v>
      </c>
      <c r="R104" s="3">
        <v>102000</v>
      </c>
    </row>
    <row r="105" spans="12:18" x14ac:dyDescent="0.25">
      <c r="L105" s="3">
        <v>103000</v>
      </c>
      <c r="O105" s="3">
        <v>103000</v>
      </c>
      <c r="R105" s="3">
        <v>103000</v>
      </c>
    </row>
    <row r="106" spans="12:18" x14ac:dyDescent="0.25">
      <c r="L106" s="3">
        <v>104000</v>
      </c>
      <c r="O106" s="3">
        <v>104000</v>
      </c>
      <c r="R106" s="3">
        <v>104000</v>
      </c>
    </row>
    <row r="107" spans="12:18" x14ac:dyDescent="0.25">
      <c r="L107" s="3">
        <v>105000</v>
      </c>
      <c r="O107" s="3">
        <v>105000</v>
      </c>
      <c r="R107" s="3">
        <v>105000</v>
      </c>
    </row>
    <row r="108" spans="12:18" x14ac:dyDescent="0.25">
      <c r="L108" s="3">
        <v>106000</v>
      </c>
      <c r="O108" s="3">
        <v>106000</v>
      </c>
      <c r="R108" s="3">
        <v>106000</v>
      </c>
    </row>
    <row r="109" spans="12:18" x14ac:dyDescent="0.25">
      <c r="L109" s="3">
        <v>107000</v>
      </c>
      <c r="O109" s="3">
        <v>107000</v>
      </c>
      <c r="R109" s="3">
        <v>107000</v>
      </c>
    </row>
    <row r="110" spans="12:18" x14ac:dyDescent="0.25">
      <c r="L110" s="3">
        <v>108000</v>
      </c>
      <c r="O110" s="3">
        <v>108000</v>
      </c>
      <c r="R110" s="3">
        <v>108000</v>
      </c>
    </row>
    <row r="111" spans="12:18" x14ac:dyDescent="0.25">
      <c r="L111" s="3">
        <v>109000</v>
      </c>
      <c r="O111" s="3">
        <v>109000</v>
      </c>
      <c r="R111" s="3">
        <v>109000</v>
      </c>
    </row>
    <row r="112" spans="12:18" x14ac:dyDescent="0.25">
      <c r="L112" s="3">
        <v>110000</v>
      </c>
      <c r="O112" s="3">
        <v>110000</v>
      </c>
      <c r="R112" s="3">
        <v>110000</v>
      </c>
    </row>
    <row r="113" spans="12:18" x14ac:dyDescent="0.25">
      <c r="L113" s="3">
        <v>111000</v>
      </c>
      <c r="O113" s="3">
        <v>111000</v>
      </c>
      <c r="R113" s="3">
        <v>111000</v>
      </c>
    </row>
    <row r="114" spans="12:18" x14ac:dyDescent="0.25">
      <c r="L114" s="3">
        <v>112000</v>
      </c>
      <c r="O114" s="3">
        <v>112000</v>
      </c>
      <c r="R114" s="3">
        <v>112000</v>
      </c>
    </row>
    <row r="115" spans="12:18" x14ac:dyDescent="0.25">
      <c r="L115" s="3">
        <v>113000</v>
      </c>
      <c r="O115" s="3">
        <v>113000</v>
      </c>
      <c r="R115" s="3">
        <v>113000</v>
      </c>
    </row>
    <row r="116" spans="12:18" x14ac:dyDescent="0.25">
      <c r="L116" s="3">
        <v>114000</v>
      </c>
      <c r="O116" s="3">
        <v>114000</v>
      </c>
      <c r="R116" s="3">
        <v>114000</v>
      </c>
    </row>
    <row r="117" spans="12:18" x14ac:dyDescent="0.25">
      <c r="L117" s="3">
        <v>115000</v>
      </c>
      <c r="O117" s="3">
        <v>115000</v>
      </c>
      <c r="R117" s="3">
        <v>115000</v>
      </c>
    </row>
    <row r="118" spans="12:18" x14ac:dyDescent="0.25">
      <c r="L118" s="3">
        <v>116000</v>
      </c>
      <c r="O118" s="3">
        <v>116000</v>
      </c>
      <c r="R118" s="3">
        <v>116000</v>
      </c>
    </row>
    <row r="119" spans="12:18" x14ac:dyDescent="0.25">
      <c r="L119" s="3">
        <v>117000</v>
      </c>
      <c r="O119" s="3">
        <v>117000</v>
      </c>
      <c r="R119" s="3">
        <v>117000</v>
      </c>
    </row>
    <row r="120" spans="12:18" x14ac:dyDescent="0.25">
      <c r="L120" s="3">
        <v>118000</v>
      </c>
      <c r="O120" s="3">
        <v>118000</v>
      </c>
      <c r="R120" s="3">
        <v>118000</v>
      </c>
    </row>
    <row r="121" spans="12:18" x14ac:dyDescent="0.25">
      <c r="L121" s="3">
        <v>119000</v>
      </c>
      <c r="O121" s="3">
        <v>119000</v>
      </c>
      <c r="R121" s="3">
        <v>119000</v>
      </c>
    </row>
    <row r="122" spans="12:18" x14ac:dyDescent="0.25">
      <c r="L122" s="3">
        <v>120000</v>
      </c>
      <c r="O122" s="3">
        <v>120000</v>
      </c>
      <c r="R122" s="3">
        <v>120000</v>
      </c>
    </row>
    <row r="123" spans="12:18" x14ac:dyDescent="0.25">
      <c r="L123" s="3">
        <v>121000</v>
      </c>
      <c r="O123" s="3">
        <v>121000</v>
      </c>
      <c r="R123" s="3">
        <v>121000</v>
      </c>
    </row>
    <row r="124" spans="12:18" x14ac:dyDescent="0.25">
      <c r="L124" s="3">
        <v>122000</v>
      </c>
      <c r="O124" s="3">
        <v>122000</v>
      </c>
      <c r="R124" s="3">
        <v>122000</v>
      </c>
    </row>
    <row r="125" spans="12:18" x14ac:dyDescent="0.25">
      <c r="L125" s="3">
        <v>123000</v>
      </c>
      <c r="O125" s="3">
        <v>123000</v>
      </c>
      <c r="R125" s="3">
        <v>123000</v>
      </c>
    </row>
    <row r="126" spans="12:18" x14ac:dyDescent="0.25">
      <c r="L126" s="3">
        <v>124000</v>
      </c>
      <c r="O126" s="3">
        <v>124000</v>
      </c>
      <c r="R126" s="3">
        <v>124000</v>
      </c>
    </row>
    <row r="127" spans="12:18" x14ac:dyDescent="0.25">
      <c r="L127" s="3">
        <v>125000</v>
      </c>
      <c r="O127" s="3">
        <v>125000</v>
      </c>
      <c r="R127" s="3">
        <v>125000</v>
      </c>
    </row>
    <row r="128" spans="12:18" x14ac:dyDescent="0.25">
      <c r="L128" s="3">
        <v>126000</v>
      </c>
      <c r="O128" s="3">
        <v>126000</v>
      </c>
      <c r="R128" s="3">
        <v>126000</v>
      </c>
    </row>
    <row r="129" spans="12:18" x14ac:dyDescent="0.25">
      <c r="L129" s="3">
        <v>127000</v>
      </c>
      <c r="O129" s="3">
        <v>127000</v>
      </c>
      <c r="R129" s="3">
        <v>127000</v>
      </c>
    </row>
    <row r="130" spans="12:18" x14ac:dyDescent="0.25">
      <c r="L130" s="3">
        <v>128000</v>
      </c>
      <c r="O130" s="3">
        <v>128000</v>
      </c>
      <c r="R130" s="3">
        <v>128000</v>
      </c>
    </row>
    <row r="131" spans="12:18" x14ac:dyDescent="0.25">
      <c r="L131" s="3">
        <v>129000</v>
      </c>
      <c r="O131" s="3">
        <v>129000</v>
      </c>
      <c r="R131" s="3">
        <v>129000</v>
      </c>
    </row>
    <row r="132" spans="12:18" x14ac:dyDescent="0.25">
      <c r="L132" s="3">
        <v>130000</v>
      </c>
      <c r="O132" s="3">
        <v>130000</v>
      </c>
      <c r="R132" s="3">
        <v>130000</v>
      </c>
    </row>
    <row r="133" spans="12:18" x14ac:dyDescent="0.25">
      <c r="L133" s="3">
        <v>131000</v>
      </c>
      <c r="O133" s="3">
        <v>131000</v>
      </c>
      <c r="R133" s="3">
        <v>131000</v>
      </c>
    </row>
    <row r="134" spans="12:18" x14ac:dyDescent="0.25">
      <c r="L134" s="3">
        <v>132000</v>
      </c>
      <c r="O134" s="3">
        <v>132000</v>
      </c>
      <c r="R134" s="3">
        <v>132000</v>
      </c>
    </row>
    <row r="135" spans="12:18" x14ac:dyDescent="0.25">
      <c r="L135" s="3">
        <v>133000</v>
      </c>
      <c r="O135" s="3">
        <v>133000</v>
      </c>
      <c r="R135" s="3">
        <v>133000</v>
      </c>
    </row>
    <row r="136" spans="12:18" x14ac:dyDescent="0.25">
      <c r="L136" s="3">
        <v>134000</v>
      </c>
      <c r="O136" s="3">
        <v>134000</v>
      </c>
      <c r="R136" s="3">
        <v>134000</v>
      </c>
    </row>
  </sheetData>
  <sheetProtection algorithmName="SHA-512" hashValue="FuaF52LsszuSBfhdsm6FZXZKlPJtCpia57mlrkdg3P3vsshKYyE3DfGnynonHCtX7ICtfAjTNFWa1KIVJhHWkA==" saltValue="VFcpoJ0e53PBpuJVYslYQg==" spinCount="100000" sheet="1" autoFilter="0" pivotTables="0"/>
  <mergeCells count="6">
    <mergeCell ref="H2:I2"/>
    <mergeCell ref="F33:G33"/>
    <mergeCell ref="F32:G32"/>
    <mergeCell ref="B8:C8"/>
    <mergeCell ref="F8:H8"/>
    <mergeCell ref="F30:G30"/>
  </mergeCells>
  <conditionalFormatting sqref="H10">
    <cfRule type="containsText" dxfId="0" priority="1" operator="containsText" text="ATTENZIONE">
      <formula>NOT(ISERROR(SEARCH("ATTENZIONE",H10)))</formula>
    </cfRule>
  </conditionalFormatting>
  <dataValidations count="1">
    <dataValidation type="list" allowBlank="1" showInputMessage="1" showErrorMessage="1" sqref="H15" xr:uid="{71888CBD-BE41-4E44-9782-CC8890AA6733}">
      <formula1>"5%,15%"</formula1>
    </dataValidation>
  </dataValidations>
  <printOptions headings="1" gridLines="1"/>
  <pageMargins left="0.7" right="0.7" top="0.75" bottom="0.75" header="0.3" footer="0.3"/>
  <pageSetup paperSize="9" scale="4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2</xdr:row>
                    <xdr:rowOff>19050</xdr:rowOff>
                  </from>
                  <to>
                    <xdr:col>6</xdr:col>
                    <xdr:colOff>409575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3</xdr:row>
                    <xdr:rowOff>19050</xdr:rowOff>
                  </from>
                  <to>
                    <xdr:col>6</xdr:col>
                    <xdr:colOff>409575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locked="0" defaultSize="0" autoFill="0" autoLine="0" autoPict="0">
                <anchor moveWithCells="1">
                  <from>
                    <xdr:col>7</xdr:col>
                    <xdr:colOff>285750</xdr:colOff>
                    <xdr:row>10</xdr:row>
                    <xdr:rowOff>219075</xdr:rowOff>
                  </from>
                  <to>
                    <xdr:col>7</xdr:col>
                    <xdr:colOff>695325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Option Button 15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1</xdr:row>
                    <xdr:rowOff>19050</xdr:rowOff>
                  </from>
                  <to>
                    <xdr:col>6</xdr:col>
                    <xdr:colOff>409575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artcom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Fabio</cp:lastModifiedBy>
  <cp:lastPrinted>2022-12-01T11:00:25Z</cp:lastPrinted>
  <dcterms:created xsi:type="dcterms:W3CDTF">2021-12-10T08:33:41Z</dcterms:created>
  <dcterms:modified xsi:type="dcterms:W3CDTF">2023-01-02T18:02:52Z</dcterms:modified>
</cp:coreProperties>
</file>